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codeName="ThisWorkbook"/>
  <mc:AlternateContent xmlns:mc="http://schemas.openxmlformats.org/markup-compatibility/2006">
    <mc:Choice Requires="x15">
      <x15ac:absPath xmlns:x15ac="http://schemas.microsoft.com/office/spreadsheetml/2010/11/ac" url="F:\Documents\2. M&amp;E_TB\Progress Reports_TB_Grants\To CCM\2021-2023\2021\Q1-Q4, 2021\dashboard\"/>
    </mc:Choice>
  </mc:AlternateContent>
  <xr:revisionPtr revIDLastSave="0" documentId="13_ncr:1_{058AABF2-ED71-4F4A-8988-2C41A473E1B7}" xr6:coauthVersionLast="47" xr6:coauthVersionMax="47" xr10:uidLastSave="{00000000-0000-0000-0000-000000000000}"/>
  <bookViews>
    <workbookView xWindow="-120" yWindow="-120" windowWidth="29040" windowHeight="15840" tabRatio="76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Indicatori" sheetId="46" r:id="rId11"/>
  </sheets>
  <definedNames>
    <definedName name="_xlnm._FilterDatabase" localSheetId="2" hidden="1">'Introducerea datelor'!$B$122:$S$122</definedName>
    <definedName name="Component">Setup!$B$9:$B$14</definedName>
    <definedName name="Countries">Setup!$L$9:$L$143</definedName>
    <definedName name="Currency">Setup!$C$9:$C$11</definedName>
    <definedName name="Indicatori">'Introducerea datelor'!$G$122:$S$172</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datelor'!$A$1:$O$179</definedName>
    <definedName name="_xlnm.Print_Area" localSheetId="4">Management!$A$2:$L$34</definedName>
    <definedName name="_xlnm.Print_Area" localSheetId="6">Programatic!$B$1:$R$49</definedName>
    <definedName name="PrintA">Actiuni!$A$2:$L$34</definedName>
    <definedName name="PrintDataF">'Introducerea datelor'!$B$25:$J$71</definedName>
    <definedName name="PrintDataM">'Introducerea datelor'!$B$73:$H$117</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9" i="29" l="1"/>
  <c r="D61" i="29"/>
  <c r="D60" i="29"/>
  <c r="D104" i="29" l="1"/>
  <c r="E39" i="29"/>
  <c r="F39" i="29"/>
  <c r="E40" i="29"/>
  <c r="F40" i="29"/>
  <c r="E41" i="29"/>
  <c r="F41" i="29"/>
  <c r="E42" i="29"/>
  <c r="F42" i="29"/>
  <c r="E43" i="29"/>
  <c r="F43" i="29"/>
  <c r="E44" i="29"/>
  <c r="F44" i="29"/>
  <c r="E45" i="29"/>
  <c r="F45" i="29"/>
  <c r="E46" i="29"/>
  <c r="F46" i="29"/>
  <c r="E47" i="29"/>
  <c r="F47" i="29"/>
  <c r="E48" i="29"/>
  <c r="F48" i="29"/>
  <c r="E49" i="29"/>
  <c r="F49" i="29"/>
  <c r="F50" i="29"/>
  <c r="E51" i="29"/>
  <c r="F51" i="29"/>
  <c r="B59" i="37" l="1"/>
  <c r="C59" i="37"/>
  <c r="B169" i="29"/>
  <c r="B171" i="29"/>
  <c r="E171" i="29"/>
  <c r="F171" i="29"/>
  <c r="C47" i="45"/>
  <c r="D47" i="45"/>
  <c r="E47" i="45"/>
  <c r="F47" i="45"/>
  <c r="C41" i="45"/>
  <c r="E16" i="29"/>
  <c r="C106" i="29" l="1"/>
  <c r="D106" i="29" s="1"/>
  <c r="C105" i="29"/>
  <c r="D105" i="29" s="1"/>
  <c r="C104" i="29"/>
  <c r="C34" i="29"/>
  <c r="C33" i="29"/>
  <c r="D33" i="29" s="1"/>
  <c r="H33" i="29"/>
  <c r="E33" i="29"/>
  <c r="F33" i="29"/>
  <c r="G33" i="29"/>
  <c r="D34" i="29"/>
  <c r="E34" i="29"/>
  <c r="F34" i="29"/>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5" i="29" l="1"/>
  <c r="F127" i="29"/>
  <c r="F129" i="29"/>
  <c r="F131" i="29"/>
  <c r="F133" i="29"/>
  <c r="F135" i="29"/>
  <c r="F137" i="29"/>
  <c r="F139" i="29"/>
  <c r="F141" i="29"/>
  <c r="F143" i="29"/>
  <c r="F145" i="29"/>
  <c r="F147" i="29"/>
  <c r="F149" i="29"/>
  <c r="F151" i="29"/>
  <c r="F153" i="29"/>
  <c r="F155" i="29"/>
  <c r="F157" i="29"/>
  <c r="F159" i="29"/>
  <c r="F161" i="29"/>
  <c r="F163" i="29"/>
  <c r="F165" i="29"/>
  <c r="F167" i="29"/>
  <c r="F169" i="29"/>
  <c r="F123"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8" i="45"/>
  <c r="F48" i="45"/>
  <c r="E49" i="45"/>
  <c r="F49" i="45"/>
  <c r="E50" i="45"/>
  <c r="F50" i="45"/>
  <c r="E51" i="45"/>
  <c r="F51" i="45"/>
  <c r="E52" i="45"/>
  <c r="F52" i="45"/>
  <c r="E53" i="45"/>
  <c r="F53" i="45"/>
  <c r="E54" i="45"/>
  <c r="F54" i="45"/>
  <c r="E55" i="45"/>
  <c r="F55" i="45"/>
  <c r="E56" i="45"/>
  <c r="F56" i="45"/>
  <c r="E57" i="45"/>
  <c r="F57" i="45"/>
  <c r="E58" i="45"/>
  <c r="F58" i="45"/>
  <c r="E59" i="45"/>
  <c r="F59" i="45"/>
  <c r="D34" i="45"/>
  <c r="D35" i="45"/>
  <c r="D36" i="45"/>
  <c r="D37" i="45"/>
  <c r="D38" i="45"/>
  <c r="D39" i="45"/>
  <c r="D40" i="45"/>
  <c r="D41" i="45"/>
  <c r="D43" i="45"/>
  <c r="D44" i="45"/>
  <c r="D45" i="45"/>
  <c r="D48" i="45"/>
  <c r="D49" i="45"/>
  <c r="D50" i="45"/>
  <c r="D51" i="45"/>
  <c r="D52" i="45"/>
  <c r="D53" i="45"/>
  <c r="D54" i="45"/>
  <c r="D55" i="45"/>
  <c r="D56" i="45"/>
  <c r="D57" i="45"/>
  <c r="D58" i="45"/>
  <c r="D59" i="45"/>
  <c r="F33" i="45"/>
  <c r="E33" i="45"/>
  <c r="D33" i="45"/>
  <c r="C33" i="45"/>
  <c r="C34" i="45"/>
  <c r="C35" i="45"/>
  <c r="C36" i="45"/>
  <c r="C37" i="45"/>
  <c r="C38" i="45"/>
  <c r="C39" i="45"/>
  <c r="C40" i="45"/>
  <c r="C43" i="45"/>
  <c r="C44" i="45"/>
  <c r="C45" i="45"/>
  <c r="C48" i="45"/>
  <c r="C49" i="45"/>
  <c r="C50" i="45"/>
  <c r="C51" i="45"/>
  <c r="C52" i="45"/>
  <c r="C53" i="45"/>
  <c r="C54" i="45"/>
  <c r="C55" i="45"/>
  <c r="C56" i="45"/>
  <c r="C57" i="45"/>
  <c r="C58" i="45"/>
  <c r="C59" i="45"/>
  <c r="E125" i="29"/>
  <c r="E127" i="29"/>
  <c r="E129" i="29"/>
  <c r="E131" i="29"/>
  <c r="E133" i="29"/>
  <c r="E135" i="29"/>
  <c r="E137" i="29"/>
  <c r="E139" i="29"/>
  <c r="E141" i="29"/>
  <c r="E143" i="29"/>
  <c r="E145" i="29"/>
  <c r="E147" i="29"/>
  <c r="E149" i="29"/>
  <c r="E151" i="29"/>
  <c r="E153" i="29"/>
  <c r="E155" i="29"/>
  <c r="E157" i="29"/>
  <c r="E159" i="29"/>
  <c r="E161" i="29"/>
  <c r="E163" i="29"/>
  <c r="E165" i="29"/>
  <c r="E167" i="29"/>
  <c r="E169" i="29"/>
  <c r="E123" i="29"/>
  <c r="B167" i="29"/>
  <c r="B165" i="29"/>
  <c r="B163" i="29"/>
  <c r="B161" i="29"/>
  <c r="B159" i="29"/>
  <c r="B157" i="29"/>
  <c r="B155" i="29"/>
  <c r="B153" i="29"/>
  <c r="B151" i="29"/>
  <c r="B149" i="29"/>
  <c r="B147" i="29"/>
  <c r="B145" i="29"/>
  <c r="B143" i="29"/>
  <c r="B141" i="29"/>
  <c r="B139" i="29"/>
  <c r="B137" i="29"/>
  <c r="B125" i="29"/>
  <c r="B127" i="29"/>
  <c r="B129" i="29"/>
  <c r="B131" i="29"/>
  <c r="B133" i="29"/>
  <c r="N19" i="37" s="1"/>
  <c r="B135" i="29"/>
  <c r="B123" i="29"/>
  <c r="D19" i="37" l="1"/>
  <c r="H19" i="37"/>
  <c r="G16" i="29" l="1"/>
  <c r="F52" i="29" l="1"/>
  <c r="K27" i="30" l="1"/>
  <c r="J27" i="30"/>
  <c r="I178" i="29" l="1"/>
  <c r="J178" i="29"/>
  <c r="K178" i="29"/>
  <c r="L178" i="29"/>
  <c r="I179" i="29"/>
  <c r="J179" i="29"/>
  <c r="K179" i="29"/>
  <c r="L179" i="29"/>
  <c r="I175" i="29"/>
  <c r="J175" i="29"/>
  <c r="K175" i="29"/>
  <c r="L175" i="29"/>
  <c r="I176" i="29"/>
  <c r="J176" i="29"/>
  <c r="K176" i="29"/>
  <c r="L176" i="29"/>
  <c r="I177" i="29"/>
  <c r="J177" i="29"/>
  <c r="K177" i="29"/>
  <c r="L177" i="29"/>
  <c r="H175" i="29"/>
  <c r="H176" i="29"/>
  <c r="H177" i="29"/>
  <c r="H178" i="29"/>
  <c r="H179" i="29"/>
  <c r="L174" i="29"/>
  <c r="I174" i="29"/>
  <c r="J174" i="29"/>
  <c r="K174" i="29"/>
  <c r="G13" i="27" l="1"/>
  <c r="B178" i="29" l="1"/>
  <c r="E178" i="29"/>
  <c r="F178" i="29"/>
  <c r="M178" i="29"/>
  <c r="N178" i="29"/>
  <c r="O178" i="29"/>
  <c r="P178" i="29"/>
  <c r="Q178" i="29"/>
  <c r="R178" i="29"/>
  <c r="S178" i="29"/>
  <c r="M179" i="29"/>
  <c r="N179" i="29"/>
  <c r="O179" i="29"/>
  <c r="P179" i="29"/>
  <c r="Q179" i="29"/>
  <c r="R179" i="29"/>
  <c r="S179" i="29"/>
  <c r="C53" i="29" l="1"/>
  <c r="D53" i="29"/>
  <c r="F53" i="29" l="1"/>
  <c r="E53" i="29"/>
  <c r="E58" i="29"/>
  <c r="E61" i="29"/>
  <c r="E60" i="29"/>
  <c r="N34" i="29"/>
  <c r="M34" i="29"/>
  <c r="L34" i="29"/>
  <c r="K34" i="29"/>
  <c r="J34" i="29"/>
  <c r="I34" i="29"/>
  <c r="H34" i="29"/>
  <c r="O31" i="29" s="1"/>
  <c r="N33" i="29"/>
  <c r="M33" i="29"/>
  <c r="L33" i="29"/>
  <c r="K33" i="29"/>
  <c r="J33" i="29"/>
  <c r="I33" i="29"/>
  <c r="E85" i="29" l="1"/>
  <c r="H174" i="29" l="1"/>
  <c r="D30" i="42" l="1"/>
  <c r="D37" i="42" l="1"/>
  <c r="R30" i="29" l="1"/>
  <c r="Q176" i="29"/>
  <c r="R176" i="29"/>
  <c r="Q177" i="29"/>
  <c r="R177" i="29"/>
  <c r="M176" i="29"/>
  <c r="N176" i="29"/>
  <c r="O176" i="29"/>
  <c r="P176" i="29"/>
  <c r="M177" i="29"/>
  <c r="N177" i="29"/>
  <c r="O177" i="29"/>
  <c r="P177" i="29"/>
  <c r="N8" i="37"/>
  <c r="B2" i="39"/>
  <c r="B2" i="42"/>
  <c r="C2" i="37"/>
  <c r="B2" i="35"/>
  <c r="B2" i="30"/>
  <c r="C2" i="45"/>
  <c r="B3" i="27"/>
  <c r="B2" i="1" s="1"/>
  <c r="I9" i="27"/>
  <c r="E57"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6" i="29"/>
  <c r="E95" i="29"/>
  <c r="D11" i="42"/>
  <c r="J3" i="35"/>
  <c r="L3" i="35"/>
  <c r="I3" i="30"/>
  <c r="K3" i="30"/>
  <c r="D33" i="42"/>
  <c r="D34" i="42"/>
  <c r="D35" i="42"/>
  <c r="D36" i="42"/>
  <c r="D38" i="42"/>
  <c r="D32" i="42"/>
  <c r="D31" i="42"/>
  <c r="E115" i="29"/>
  <c r="G115" i="29" s="1"/>
  <c r="I115" i="29" s="1"/>
  <c r="E114" i="29"/>
  <c r="G114" i="29" s="1"/>
  <c r="I114" i="29" s="1"/>
  <c r="E116" i="29"/>
  <c r="G116" i="29" s="1"/>
  <c r="I116" i="29" s="1"/>
  <c r="E117" i="29"/>
  <c r="G117" i="29" s="1"/>
  <c r="I117" i="29" s="1"/>
  <c r="K30" i="35"/>
  <c r="K31" i="35"/>
  <c r="K32" i="35"/>
  <c r="K33" i="35"/>
  <c r="M175" i="29"/>
  <c r="N175" i="29"/>
  <c r="O175" i="29"/>
  <c r="P175" i="29"/>
  <c r="Q175" i="29"/>
  <c r="R175" i="29"/>
  <c r="S175" i="29"/>
  <c r="S176" i="29"/>
  <c r="S177" i="29"/>
  <c r="M174" i="29"/>
  <c r="N174" i="29"/>
  <c r="O174" i="29"/>
  <c r="P174" i="29"/>
  <c r="Q174" i="29"/>
  <c r="R174" i="29"/>
  <c r="S174" i="29"/>
  <c r="F176" i="29"/>
  <c r="F174" i="29"/>
  <c r="E176" i="29"/>
  <c r="E174" i="29"/>
  <c r="B176" i="29"/>
  <c r="B174"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9" i="29"/>
  <c r="F20" i="42" s="1"/>
  <c r="G12" i="27"/>
  <c r="H4" i="1"/>
  <c r="G78"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73" i="29"/>
  <c r="R173" i="29"/>
  <c r="Q173" i="29"/>
  <c r="P173" i="29"/>
  <c r="O173" i="29"/>
  <c r="N173" i="29"/>
  <c r="M173" i="29"/>
  <c r="L173" i="29"/>
  <c r="K173" i="29"/>
  <c r="J173" i="29"/>
  <c r="I173" i="29"/>
  <c r="H173"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6" i="29"/>
  <c r="L35" i="29"/>
  <c r="M35" i="29"/>
  <c r="F35" i="37" l="1"/>
  <c r="G59" i="37"/>
  <c r="F59" i="37"/>
  <c r="G58" i="37"/>
  <c r="G54" i="37"/>
  <c r="G50" i="37"/>
  <c r="G46" i="37"/>
  <c r="G42" i="37"/>
  <c r="G38" i="37"/>
  <c r="F40" i="37"/>
  <c r="F44" i="37"/>
  <c r="F48" i="37"/>
  <c r="F52" i="37"/>
  <c r="F56" i="37"/>
  <c r="F36" i="37"/>
  <c r="G57" i="37"/>
  <c r="G53" i="37"/>
  <c r="G49" i="37"/>
  <c r="G45" i="37"/>
  <c r="G41" i="37"/>
  <c r="G37" i="37"/>
  <c r="F41" i="37"/>
  <c r="F45" i="37"/>
  <c r="F49" i="37"/>
  <c r="F53" i="37"/>
  <c r="F57" i="37"/>
  <c r="F37" i="37"/>
  <c r="G56" i="37"/>
  <c r="G52" i="37"/>
  <c r="G48" i="37"/>
  <c r="G44" i="37"/>
  <c r="G40" i="37"/>
  <c r="G36" i="37"/>
  <c r="F42" i="37"/>
  <c r="F46" i="37"/>
  <c r="F50" i="37"/>
  <c r="F54" i="37"/>
  <c r="F58" i="37"/>
  <c r="F38" i="37"/>
  <c r="G55" i="37"/>
  <c r="G47" i="37"/>
  <c r="G43" i="37"/>
  <c r="G39" i="37"/>
  <c r="F43" i="37"/>
  <c r="F47" i="37"/>
  <c r="F55" i="37"/>
  <c r="G51" i="37"/>
  <c r="G35" i="37"/>
  <c r="F51" i="37"/>
  <c r="F39" i="37"/>
  <c r="H15" i="35"/>
  <c r="H22" i="30"/>
  <c r="B3" i="32"/>
  <c r="AE46" i="37"/>
  <c r="AC46" i="37"/>
  <c r="AG46" i="37"/>
  <c r="AF46" i="37"/>
  <c r="AE37" i="37"/>
  <c r="AD37" i="37"/>
  <c r="AC37" i="37"/>
  <c r="AG37" i="37"/>
  <c r="AF37" i="37"/>
  <c r="AD46" i="37"/>
  <c r="E20" i="42"/>
  <c r="K117" i="29"/>
  <c r="L33" i="35" s="1"/>
  <c r="J33" i="35"/>
  <c r="H7" i="35"/>
  <c r="D35" i="29"/>
  <c r="R32" i="29"/>
  <c r="B22" i="30"/>
  <c r="AC47" i="37"/>
  <c r="AG47" i="37"/>
  <c r="AD47" i="37"/>
  <c r="AE47" i="37"/>
  <c r="AF47" i="37"/>
  <c r="J30" i="35"/>
  <c r="K114" i="29"/>
  <c r="L30" i="35" s="1"/>
  <c r="K115" i="29"/>
  <c r="L31" i="35" s="1"/>
  <c r="J31" i="35"/>
  <c r="J32" i="35"/>
  <c r="K116" i="29"/>
  <c r="L32" i="35" s="1"/>
  <c r="H8" i="30"/>
  <c r="H26" i="35"/>
  <c r="B8" i="30"/>
  <c r="B7" i="35"/>
  <c r="B15" i="35"/>
  <c r="K35" i="29"/>
  <c r="I35" i="29"/>
  <c r="G35" i="29"/>
  <c r="R31" i="29"/>
  <c r="R34" i="29"/>
  <c r="F35" i="29"/>
  <c r="R55" i="29"/>
  <c r="Q57" i="29"/>
  <c r="E59" i="29"/>
  <c r="H42" i="37" l="1"/>
  <c r="H45" i="37"/>
  <c r="H52" i="37"/>
  <c r="H55" i="37"/>
  <c r="H56" i="37"/>
  <c r="H51" i="37"/>
  <c r="H57" i="37"/>
  <c r="H58" i="37"/>
  <c r="H50" i="37"/>
  <c r="H59" i="37"/>
  <c r="H53" i="37"/>
  <c r="H54" i="37"/>
  <c r="H35" i="37"/>
  <c r="H39" i="37"/>
  <c r="H49" i="37"/>
  <c r="H38" i="37"/>
  <c r="H48" i="37"/>
  <c r="H41" i="37"/>
  <c r="H40" i="37"/>
  <c r="H47" i="37"/>
  <c r="H37" i="37"/>
  <c r="H43"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8" authorId="1" shapeId="0" xr:uid="{00000000-0006-0000-0200-000002000000}">
      <text>
        <r>
          <rPr>
            <b/>
            <sz val="8"/>
            <color indexed="81"/>
            <rFont val="Tahoma"/>
            <family val="2"/>
            <charset val="204"/>
          </rPr>
          <t xml:space="preserve">If data are not available, do not enter zeros; rather, leave the cells in the table blank. </t>
        </r>
      </text>
    </comment>
    <comment ref="B79" authorId="1" shapeId="0" xr:uid="{00000000-0006-0000-0200-000003000000}">
      <text>
        <r>
          <rPr>
            <b/>
            <sz val="8"/>
            <color indexed="81"/>
            <rFont val="Tahoma"/>
            <family val="2"/>
            <charset val="204"/>
          </rPr>
          <t>If data are not available, do not enter zeros; rather, leave the cells in this table blank.</t>
        </r>
      </text>
    </comment>
    <comment ref="B85" authorId="0" shapeId="0" xr:uid="{00000000-0006-0000-0200-000004000000}">
      <text>
        <r>
          <rPr>
            <sz val="8"/>
            <color indexed="81"/>
            <rFont val="Tahoma"/>
            <family val="2"/>
            <charset val="204"/>
          </rPr>
          <t xml:space="preserve">If data are not available, do not enter zeros; rather, leave the cells in this table blank. </t>
        </r>
      </text>
    </comment>
    <comment ref="B100"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<sst xmlns="http://schemas.openxmlformats.org/spreadsheetml/2006/main" count="851" uniqueCount="545">
  <si>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</si>
  <si>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</si>
  <si>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</si>
  <si>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</si>
  <si>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</si>
  <si>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</si>
  <si>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</si>
  <si>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</si>
  <si>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</si>
  <si>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</si>
  <si>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</si>
  <si>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</si>
  <si>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</si>
  <si>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</si>
  <si>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</si>
  <si>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</si>
  <si>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</si>
  <si>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</si>
  <si>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</si>
  <si>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</si>
  <si>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</si>
  <si>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</si>
  <si>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</si>
  <si>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</si>
  <si>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</si>
  <si>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</si>
  <si>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</si>
  <si>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</si>
  <si>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</si>
  <si>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</si>
  <si>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</si>
  <si>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</si>
  <si>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</si>
  <si>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</si>
  <si>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</si>
  <si>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</si>
  <si>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</si>
  <si>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</si>
  <si>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</si>
  <si>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</si>
  <si>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</si>
  <si>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</si>
  <si>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</si>
  <si>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</si>
  <si>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</si>
  <si>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</si>
  <si>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</si>
  <si>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</si>
  <si>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</si>
  <si>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</si>
  <si>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</si>
  <si>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</si>
  <si>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</si>
  <si>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</si>
  <si>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</si>
  <si>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</si>
  <si>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</si>
  <si>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</si>
  <si>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</si>
  <si>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</si>
  <si>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</si>
  <si>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</si>
  <si>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</si>
  <si>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</si>
  <si>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</si>
  <si>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</si>
  <si>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</si>
  <si>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</si>
  <si>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</si>
  <si>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</si>
  <si>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</si>
  <si>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</si>
  <si>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</si>
  <si>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</si>
  <si>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</si>
  <si>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</si>
  <si>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</si>
  <si>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</si>
  <si>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</si>
  <si>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</si>
  <si>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</si>
  <si>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</si>
  <si>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</si>
  <si>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</si>
  <si>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</si>
  <si>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</si>
  <si>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</si>
  <si>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</si>
  <si>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</si>
  <si>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</si>
  <si>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</si>
  <si>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</si>
  <si>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</si>
  <si>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</si>
  <si>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</si>
  <si>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</si>
  <si>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</si>
  <si>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</si>
  <si>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</si>
  <si>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</si>
  <si>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</si>
  <si>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</si>
  <si>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</si>
  <si>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</si>
  <si>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</si>
  <si>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</si>
  <si>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</si>
  <si>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</si>
  <si>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</si>
  <si>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</si>
  <si>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</si>
  <si>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</si>
  <si>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</si>
  <si>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</si>
  <si>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</si>
  <si>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</si>
  <si>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</si>
  <si>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</si>
  <si>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</si>
  <si>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</si>
  <si>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</si>
  <si>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</si>
  <si>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</si>
  <si>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</si>
  <si>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</si>
  <si>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</si>
  <si>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</si>
  <si>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</si>
  <si>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</si>
  <si>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</si>
  <si>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</si>
  <si>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</si>
  <si>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</si>
  <si>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</si>
  <si>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</si>
  <si>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</si>
  <si>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</si>
  <si>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</si>
  <si>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</si>
  <si>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</si>
  <si>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</si>
  <si>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</si>
  <si>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</si>
  <si>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</si>
  <si>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</si>
  <si>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</si>
  <si>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</si>
  <si>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</si>
  <si>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</si>
  <si>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</si>
  <si>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</si>
  <si>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</si>
  <si>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</si>
  <si>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</si>
  <si>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</si>
  <si>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</si>
  <si>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</si>
  <si>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</si>
  <si>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</si>
  <si>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</si>
  <si>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</si>
  <si>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</si>
  <si>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</si>
  <si>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</si>
  <si>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</si>
  <si>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</si>
  <si>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</si>
  <si>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</si>
  <si>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</si>
  <si>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</si>
  <si>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</si>
  <si>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</si>
  <si>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</si>
  <si>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</si>
  <si>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</si>
  <si>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</si>
  <si>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</si>
  <si>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</si>
  <si>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</si>
  <si>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</si>
  <si>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</si>
  <si>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</si>
  <si>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</si>
  <si>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</si>
  <si>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</si>
  <si>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</si>
  <si>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</si>
  <si>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</si>
  <si>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</si>
  <si>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</si>
  <si>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</si>
  <si>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</si>
  <si>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</si>
  <si>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</si>
  <si>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</si>
  <si>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</si>
  <si>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</si>
  <si>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</si>
  <si>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</si>
  <si>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</si>
  <si>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</si>
  <si>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</si>
  <si>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</si>
  <si>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</si>
  <si>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</si>
  <si>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</si>
  <si>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</si>
  <si>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</si>
  <si>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</si>
  <si>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</si>
  <si>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</si>
  <si>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</si>
  <si>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</si>
  <si>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</si>
  <si>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</si>
  <si>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</si>
  <si>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</si>
  <si>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</si>
  <si>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</si>
  <si>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</si>
  <si>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</si>
  <si>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</si>
  <si>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</si>
  <si>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</si>
  <si>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</si>
  <si>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</si>
  <si>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</si>
  <si>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</si>
  <si>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</si>
  <si>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</si>
  <si>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</si>
  <si>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</si>
  <si>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</si>
  <si>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</si>
  <si>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</si>
  <si>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</si>
  <si>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</si>
  <si>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</si>
  <si>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</si>
  <si>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</si>
  <si>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</si>
  <si>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</si>
  <si>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</si>
  <si>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</si>
  <si>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</si>
  <si>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</si>
  <si>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</si>
  <si>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</si>
  <si>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</si>
  <si>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</si>
  <si>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</si>
  <si>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</si>
  <si>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</si>
  <si>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</si>
  <si>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</si>
  <si>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</si>
  <si>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</si>
  <si>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</si>
  <si>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</si>
  <si>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</si>
  <si>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</si>
  <si>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</si>
  <si>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</si>
  <si>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</si>
  <si>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</si>
  <si>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</si>
  <si>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</si>
  <si>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</si>
  <si>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</si>
  <si>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</si>
  <si>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</si>
  <si>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</si>
  <si>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</si>
  <si>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</si>
  <si>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</si>
  <si>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</si>
  <si>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</si>
  <si>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</si>
  <si>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</si>
  <si>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</si>
  <si>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</si>
  <si>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</si>
  <si>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</si>
  <si>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</si>
  <si>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</si>
  <si>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</si>
  <si>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</si>
  <si>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</si>
  <si>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</si>
  <si>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</si>
  <si>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</si>
  <si>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</si>
  <si>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</si>
  <si>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</si>
  <si>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</si>
  <si>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</si>
  <si>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</si>
  <si>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</si>
  <si>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</si>
  <si>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</si>
  <si>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</si>
  <si>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</si>
  <si>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</si>
  <si>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</si>
  <si>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</si>
  <si>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</si>
  <si>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</si>
  <si>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</si>
  <si>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</si>
  <si>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</si>
  <si>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</si>
  <si>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</si>
  <si>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</si>
  <si>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</si>
  <si>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</si>
  <si>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</si>
  <si>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</si>
  <si>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</si>
  <si>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</si>
  <si>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</si>
  <si>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</si>
  <si>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</si>
  <si>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</si>
  <si>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</si>
  <si>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</si>
  <si>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</si>
  <si>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</si>
  <si>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</si>
  <si>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</si>
  <si>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</si>
  <si>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</si>
  <si>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</si>
  <si>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</si>
  <si>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</si>
  <si>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</si>
  <si>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</si>
  <si>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</si>
  <si>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</si>
  <si>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</si>
  <si>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</si>
  <si>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</si>
  <si>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</si>
  <si>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</si>
  <si>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</si>
  <si>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</si>
  <si>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</si>
  <si>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</si>
  <si>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</si>
  <si>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</si>
  <si>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</si>
  <si>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</si>
  <si>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</si>
  <si>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</si>
  <si>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</si>
  <si>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</si>
  <si>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</si>
  <si>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</si>
  <si>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</si>
  <si>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</si>
  <si>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</si>
  <si>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</si>
  <si>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</si>
  <si>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</si>
  <si>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</si>
  <si>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</si>
  <si>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</si>
  <si>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</si>
  <si>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</si>
  <si>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</si>
  <si>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</si>
  <si>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</si>
  <si>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</si>
  <si>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</si>
  <si>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</si>
  <si>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</si>
  <si>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</si>
  <si>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</si>
  <si>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</si>
  <si>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</si>
  <si>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</si>
  <si>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</si>
  <si>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</si>
  <si>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</si>
  <si>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</si>
  <si>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</si>
  <si>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</si>
  <si>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</si>
  <si>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</si>
  <si>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</si>
  <si>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</si>
  <si>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</si>
  <si>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</si>
  <si>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</si>
  <si>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</si>
  <si>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</si>
  <si>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</si>
  <si>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</si>
  <si>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</si>
  <si>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</si>
  <si>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</si>
  <si>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</si>
  <si>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</si>
  <si>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</si>
  <si>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</si>
  <si>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</si>
  <si>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</si>
  <si>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</si>
  <si>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</si>
  <si>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Tabelul este în mod automat reînnoit. Nu necesită introducerea datelor și/sau informației.</t>
  </si>
  <si>
    <t xml:space="preserve">Ultima debursare: Zile calendaristice </t>
  </si>
  <si>
    <t>Indicatori de Program (din Performance Framework)</t>
  </si>
  <si>
    <t xml:space="preserve">    Introduceți datele de performanță în celulele în galben.</t>
  </si>
  <si>
    <t>Recomandările cheie a Comisiei de Supraveghere</t>
  </si>
  <si>
    <t>IP UCIMP DS</t>
  </si>
  <si>
    <t>Tsovinar Sakanyan</t>
  </si>
  <si>
    <t xml:space="preserve">                               Introduceți datele pentru management în celulele albastre</t>
  </si>
  <si>
    <t>Period 1</t>
  </si>
  <si>
    <t>* Include numai AFR categoriile 4,5 și 6  (Produse medicale și Echipamente medicale &amp; Medicamente și Produse farmaceutice)</t>
  </si>
  <si>
    <t>Variația</t>
  </si>
  <si>
    <t>%</t>
  </si>
  <si>
    <t>MDA-C-PCIMU</t>
  </si>
  <si>
    <t>Consolidarea controlului tuberculozei și reducerea SIDA și a mortalității aferente în Republica Moldova</t>
  </si>
  <si>
    <t>Start date</t>
  </si>
  <si>
    <t>End data</t>
  </si>
  <si>
    <t>N/A</t>
  </si>
  <si>
    <t>HIV I-4: Mortalitatea asociată cu SIDA la 100,000 populaţie</t>
  </si>
  <si>
    <t>Indicator de impact</t>
  </si>
  <si>
    <t>Indicator de rezultat</t>
  </si>
  <si>
    <t>Indicator de proces</t>
  </si>
  <si>
    <t>HIV</t>
  </si>
  <si>
    <t>Definiție (din M&amp;E Plan)</t>
  </si>
  <si>
    <t>Column1</t>
  </si>
  <si>
    <t>Column2</t>
  </si>
  <si>
    <t>N</t>
  </si>
  <si>
    <t>Tip indicator</t>
  </si>
  <si>
    <t xml:space="preserve">Componenta </t>
  </si>
  <si>
    <t>TB O-5(M): Rata de acoperire cu tratament antituberculos</t>
  </si>
  <si>
    <t xml:space="preserve">TB I-4(M): Prevalența RR-TB și/sau MDR-TB printre cazurile noi de tuberculoză </t>
  </si>
  <si>
    <t>TB I-3(M): Rata mortalităţii prin TB la 100,000 populație</t>
  </si>
  <si>
    <t xml:space="preserve">Numărător: Numărul de decese cauzate de TB (toate formele) înregistrate, într-o anumită perioadă, la 100,000 populație                                                                                                                                                     Numitor: Numărul total al populației în țară x 100,000 </t>
  </si>
  <si>
    <t>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t>
  </si>
  <si>
    <t xml:space="preserve">Numărător: Numărul estimat de decese cauzate de HIV/ SIDA, într-o anumită perioadă de timp (date - generate de SPECTRUM)                                                                                                                                     Numitor: Numărul total al populației indiferent de statutul HIV (per 100 000 persoane)                                              
                                </t>
  </si>
  <si>
    <t xml:space="preserve">HIV I-9a⁽ᴹ⁾: Procentul BSB care trăiesc cu HIV </t>
  </si>
  <si>
    <t>Frecvența de colectare a datelor</t>
  </si>
  <si>
    <t>Definiție (conform Planului M&amp;E)</t>
  </si>
  <si>
    <t>Numărător: Numărul de BSB care au rezultat HIV pozitiv                                                                                                             Numitor: Numărul de BSB testați pentru HIV</t>
  </si>
  <si>
    <t>Studiu Integrat Bio-Comportamental (IBBS)</t>
  </si>
  <si>
    <t>HIV I-10⁽ᴹ⁾: Procentul LS care trăiesc cu HIV</t>
  </si>
  <si>
    <t xml:space="preserve">Numărător: Numărul de LS care au rezultat HIV pozitiv                                                                                                             Numitor: Numărul de LS testați pentru HIV                                                                       </t>
  </si>
  <si>
    <t>HIV I-11⁽ᴹ⁾: Procentul consumatorilor de droguri injectabile care trăiesc cu HIV</t>
  </si>
  <si>
    <t>Numărător: Numărul de CDI care au rezultat HIV pozitiv                                                                                                             Numitor: Numărul de CDI testați pentru HIV</t>
  </si>
  <si>
    <t>TB O-4(M): Rata succesului tratamentului pacienților cu RR TB și/sau MDR-TB</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</si>
  <si>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</si>
  <si>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Numărător: Numărul de cazuri noi și recidive notificate și acoperite cu tratament,  într-o anumită perioadă
Numitor: Numărul estimat de cazuri TB din același an (toate formele TB - bacteriologic confirmate și diagnosticate clinic)</t>
  </si>
  <si>
    <t>HIV O-4a⁽ᴹ⁾: Procentul BSB care raportează utilizarea prezervativului în timpul ultimului act de sex anal cu un partener de sex masculin</t>
  </si>
  <si>
    <t>Numărător: Numărul de BSB care au raportat utilizarea prezervativului, în timpul ultimului act de sex anal cu un partener ocazional, în ultimele 6 luni                                                                                                  Numitor: Numărul de BSB care au raportat practicarea sexului anal cu un partener de sex masculin, în ultimele 6 luni</t>
  </si>
  <si>
    <t xml:space="preserve">
Următorul IBBS urmează a fi realizat în a. 2024 (în afara perioadei curente de implementare)
</t>
  </si>
  <si>
    <t>Următorul IBBS urmează a fi realizat în a. 2024 (în afara perioadei curente de implementare)</t>
  </si>
  <si>
    <t>HIV O-5⁽ᴹ⁾: Procentul LS care raportează utilizarea prezervativului cu ultimul lor client</t>
  </si>
  <si>
    <t>Numărător: Numărul de LS care au raportat utilizarea prezervativului cu ultimul lor client
Numitor: Numărul de LS care au raportat practicarea sexului comercial în ultimele 12 luni</t>
  </si>
  <si>
    <t>HIV O-6⁽ᴹ⁾: Procentul CDI care raportează utilizarea setului pentru injectare steril la ultima lor injectare</t>
  </si>
  <si>
    <t>Numărător: Numărul de CDI care au raportat utilizarea setului pentru injectare steril, la ultima consumare de droguri injectabile
Numitor: Numărul de CDI care au raportat consumarea de droguri injectabile în ultima lună</t>
  </si>
  <si>
    <t>HIV O-11⁽ᴹ⁾: Procentul PTH care își cunosc statutul HIV la sfîrșitul perioadei de raportare</t>
  </si>
  <si>
    <t xml:space="preserve">Numărător: Numărul persoanelor care trăiesc cu HIV, care își cunosc statutul HIV                                                                                 Numitor: Numărul estimat al persoanelor care trăiesc cu HIV (date - generate de SPECTRUM)                 </t>
  </si>
  <si>
    <t>Registru pacienți HIV/ Estimări SPECTRUM</t>
  </si>
  <si>
    <t>HIV O-12: Procentul PTH aflați în tratament ARV, care prezintă supresie virală</t>
  </si>
  <si>
    <t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t>
  </si>
  <si>
    <t xml:space="preserve">Estimări SPECTRUM/ Registru pacienți TARV </t>
  </si>
  <si>
    <t xml:space="preserve">Estimări SPECTRUM
</t>
  </si>
  <si>
    <t xml:space="preserve">TCP-1⁽ᴹ⁾: Numărul cazurilor de tuberculoză, toate formele (bacteriologic confirmate și diagnosticate clinic, cazuri noi și recidive) notificate către autoritatea națională, într-o perioadă anumită de timp </t>
  </si>
  <si>
    <t xml:space="preserve">Numărător: Numărul cazurilor de tuberculoză, toate formele (bacteriologic confirmate și diagnosticate clinic, cazuri noi și recidive) notificate către autoritatea națională, într-o perioadă anumită de timp                                                                                        Numitor: Nu este   </t>
  </si>
  <si>
    <t xml:space="preserve">MDR TB-2⁽ᴹ⁾: Numărul cazurilor cu tuberculoză drog-rezistentă (RR-TB și/sau MDR-TB) notificate către autoritatea națională          </t>
  </si>
  <si>
    <t xml:space="preserve">Numărător: Numărul de cazuri de TB DR (RR-TB și/sau MDR-TB), confirmate bacteriologic, notificate către autoritatea națională, în perioada raportată                                                                                             Numitor: Nu este   </t>
  </si>
  <si>
    <t xml:space="preserve">MDR TB-3⁽ᴹ⁾: Numărul cazurilor cu tuberculoză drog-rezistentă (RR-TB și/sau MDR-TB), confirmate bacteriologic, care au demarat tratamentul DOTS-Plus, în perioada raportată                </t>
  </si>
  <si>
    <t xml:space="preserve">Numărător: Numărul cazurilor cu TB DR (RR-TB și/sau MDR-TB), confirmate bacteriologic, care au demarat tratamentul DOTS-Plus în perioada raportată
Numitor: Nu este   </t>
  </si>
  <si>
    <t xml:space="preserve">Sistemul R&amp;R TB/ Rapoarte trimestriale/ SYME TB - Modul DOTS Plus </t>
  </si>
  <si>
    <t>Sistemul R&amp;R TB/ Rapoarte anuale; Supraveghere de rutină a DR (Drog Rezistenței)/ SYME TB</t>
  </si>
  <si>
    <t>Sistemul R&amp;R TB/ Rapoarte trimestriale; Supraveghere de rutină a DR (Drog Rezistenței)/ SYME TB</t>
  </si>
  <si>
    <t>TCS-1.1⁽ᴹ⁾: Procentul persoanelor aflate în tratament ARV, din numărul total de PTH, la sfîrșitul perioadei de raportare</t>
  </si>
  <si>
    <t>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t>
  </si>
  <si>
    <t xml:space="preserve">Registru pacienți TARV/ Estimări SPECTRUM  </t>
  </si>
  <si>
    <t xml:space="preserve">KP-1a⁽ᴹ⁾: Procentul BSB acoperiți de programele de prevenire HIV - pachet definit de servicii </t>
  </si>
  <si>
    <t>Numărător: Numărul de BSB care au beneficiat de un pachet definit de servicii de prevenire HIV                                                   Numitor: Numărul estimat de BSB în Rep. Moldova</t>
  </si>
  <si>
    <t xml:space="preserve">Forme de raportare ONG, Registrul Electronic de Evidență a beneficiarilor din GRSI
</t>
  </si>
  <si>
    <t xml:space="preserve">KP-1c⁽ᴹ⁾: Procentul LS acoperiți de programele de prevenire HIV - pachet definit de servicii </t>
  </si>
  <si>
    <t>Numărător: Numărul de LS care au beneficiat de un pachet definit de servicii de prevenire HIV                                                   Numitor: Numărul estimat de LS în Rep. Moldova</t>
  </si>
  <si>
    <t xml:space="preserve">KP-1d⁽ᴹ⁾: Procentul consumatorilor de droguri injectabile acoperiți de programele de prevenire HIV - pachet definit de servicii </t>
  </si>
  <si>
    <t>Numărător: Numărul de CDI care au beneficiat de un pachet definit de servicii de prevenire HIV                                                                                              Numitor: Numărul estimat de CDI în Rep. Moldova</t>
  </si>
  <si>
    <t>HTS-3a⁽ᴹ⁾: Procentul BSB care au fost testați pentru HIV, în perioada de raportare, și își cunosc rezultatele</t>
  </si>
  <si>
    <t>Numărător: Numărul de BSB care au fost testați pentru HIV, în perioada de raportare, și își cunosc rezultatele
Numitor: Numărul estimat de BSB în Rep. Moldova</t>
  </si>
  <si>
    <t>HTS-3c⁽ᴹ⁾: Procentul LS care au fost testați pentru HIV, în perioada de raportare, și își cunosc rezultatele</t>
  </si>
  <si>
    <t xml:space="preserve">Numărător: Numărul de LS care au fost testați pentru HIV, în perioada de raportare, și își cunosc rezultatele
Numitor: Numărul estimat de LS în Rep. Moldova
</t>
  </si>
  <si>
    <t>HTS-3d⁽ᴹ⁾: Procentul CDI care au fost testați pentru HIV, în perioada de raportare, și își cunosc rezultatele</t>
  </si>
  <si>
    <t>Numărător: Numărul de CDI care au fost testați pentru HIV, în perioada de raportare, și își cunosc rezultatele
Numitor: Numărul estimat de CDI în Rep. Moldova</t>
  </si>
  <si>
    <t>HTS-3f⁽ᴹ⁾: Numărul deținuților care au fost testați pentru HIV, în perioada de raportare, și își cunosc rezultatele</t>
  </si>
  <si>
    <t>Numărător: Numărul deținuților care au fost testați pentru HIV, în perioada de raportare, și își cunosc rezultatele
Numitor: Nu este</t>
  </si>
  <si>
    <t>Registru pacienți ANP</t>
  </si>
  <si>
    <t>KP-6a: Procentul BSB eligibili, care au inițiat tratamentul oral antiretroviral PrEP, în perioada de raportare</t>
  </si>
  <si>
    <t>Numărător: Numărul de BSB eligibili, care au inițiat tratamentul oral antiretroviral PrEP, în perioada de raportare
Numitor: Numărul de BSB eligibili, care au inițiat primar tratamentul oral antiretroviral PrEP, în perioada de raportare</t>
  </si>
  <si>
    <t>Registru pacienți TARV pentru PrEP, Registrul Electronic de Evidență a beneficiarilor din GRSI</t>
  </si>
  <si>
    <t>Sistemul R&amp;R TB/ Rapoarte anuale/ SYME TB
Raportul anual al OMS (WHO Global TB)</t>
  </si>
  <si>
    <t>Sistemul R&amp;R TB/ Rapoarte anuale/ SYME TB</t>
  </si>
  <si>
    <t>MDR-TB</t>
  </si>
  <si>
    <t>Management de Program</t>
  </si>
  <si>
    <t>COVID-19</t>
  </si>
  <si>
    <t>Pentru raportarea acestui indicator, datele sunt colectate și validate în conformitate cu rezultatele Studiului Integrat Bio-Comportamental (IBSS). Pentru perioada aa. 2021-2023, nu sunt ținte propuse pentru acest indicator, deoarece următorul IBBS urmează a fi realizat în a. 2024 (în afara perioadei curente de implementare).</t>
  </si>
  <si>
    <t>n/a</t>
  </si>
  <si>
    <t>Modulele Grantului</t>
  </si>
  <si>
    <t>Prevenirea cazurilor noi HIV pozitive </t>
  </si>
  <si>
    <t>Reducerea barierelor în domeniul drepturilor omului, în accesarea serviciilor HIV/TB</t>
  </si>
  <si>
    <t>Înlăturarea barierelor în domeniul drepturilor omului și de gen, în accesarea serviciilor TB</t>
  </si>
  <si>
    <t>Sisteme de sănătate reziliente și durabile: Sisteme informaționale de management în sănătate și M&amp;E</t>
  </si>
  <si>
    <t>Sisteme de sănătate reziliente și durabile: Resurse umane în domeniul sănătății, inclusiv personal medical comunitar</t>
  </si>
  <si>
    <t>Sisteme de sănătate reziliente și durabile: Furnizarea serviciilor integrate și ameliorarea calității acestora</t>
  </si>
  <si>
    <t>Sisteme de sănătate reziliente și durabile: Sisteme de laboratoare</t>
  </si>
  <si>
    <t>Servicii de îngrijire și prevenire a TB</t>
  </si>
  <si>
    <t>Tratament, îngrijire și suport (HIV)</t>
  </si>
  <si>
    <t>Name</t>
  </si>
  <si>
    <t xml:space="preserve">Introduceți datele bazîndu-vă pe celulele codificate prin culoare </t>
  </si>
  <si>
    <t>Servicii diferențiate de testare la HIV</t>
  </si>
  <si>
    <t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t>
  </si>
  <si>
    <t xml:space="preserve">Date preliminare pentru a. 2021. 192 persoane (165 MD, 27 MS) au decedat de tuberculoză în anul 2021 (4,78 decese la 100,000 persoane).        </t>
  </si>
  <si>
    <t xml:space="preserve">Date preliminare pentru a. 2021. 210 (MD 160, MS 50) cazuri noi de tuberculoză cu testul pozitiv la cultură, examinate la sensibilitate pentru preparatele de linia I, din 950 cazuri investigate în anul 2021, au fost diagnosticate cu MDR.           </t>
  </si>
  <si>
    <r>
      <rPr>
        <b/>
        <sz val="10"/>
        <rFont val="Calibri"/>
        <family val="2"/>
      </rPr>
      <t>Date preliminare pentru a. 2021.</t>
    </r>
    <r>
      <rPr>
        <sz val="10"/>
        <rFont val="Calibri"/>
        <family val="2"/>
      </rPr>
      <t xml:space="preserve"> 5,940 PTH prezintă supresie virală (&lt;1000 copii/mL), din 6,256 PTH aflate în tratament ARV cel puțin 6 luni și cu cel puțin un rezultat la testul de detectare a încărcăturii virale HIV, în registrul pacienților TARV, în perioada de raportare.     </t>
    </r>
  </si>
  <si>
    <r>
      <rPr>
        <b/>
        <sz val="10"/>
        <rFont val="Calibri"/>
        <family val="2"/>
      </rPr>
      <t xml:space="preserve">Date preliminare pentru a. 2021. </t>
    </r>
    <r>
      <rPr>
        <sz val="10"/>
        <rFont val="Calibri"/>
        <family val="2"/>
      </rPr>
      <t xml:space="preserve">192 persoane (165 MD, 27 MS) au decedat de tuberculoză în anul 2021 (4,78 decese la 100,000 persoane).        </t>
    </r>
  </si>
  <si>
    <r>
      <rPr>
        <b/>
        <sz val="10"/>
        <rFont val="Calibri"/>
        <family val="2"/>
      </rPr>
      <t>Date preliminare pentru a. 2021.</t>
    </r>
    <r>
      <rPr>
        <sz val="10"/>
        <rFont val="Calibri"/>
        <family val="2"/>
      </rPr>
      <t xml:space="preserve"> 210 (MD 160, MS 50) cazuri noi de tuberculoză cu testul pozitiv la cultură, examinate la sensibilitate pentru preparatele de linia I, din 950 cazuri investigate în anul 2021, au fost diagnosticate cu MDR.   </t>
    </r>
  </si>
  <si>
    <r>
      <rPr>
        <b/>
        <sz val="10"/>
        <rFont val="Calibri"/>
        <family val="2"/>
      </rPr>
      <t>Date preliminare pentru cohorta MDR-TB a. 2019.</t>
    </r>
    <r>
      <rPr>
        <sz val="10"/>
        <rFont val="Calibri"/>
        <family val="2"/>
      </rPr>
      <t xml:space="preserve"> 549 cazuri confirmate de TB MDR, din 878 incluse în tratamentul DOTS Plus, în anul 2019, au fost tratate cu succes (vindecate și cu tratamente încheiate).</t>
    </r>
  </si>
  <si>
    <r>
      <rPr>
        <b/>
        <sz val="10"/>
        <rFont val="Calibri"/>
        <family val="2"/>
      </rPr>
      <t>Date finale pentru a. 2021</t>
    </r>
    <r>
      <rPr>
        <sz val="10"/>
        <rFont val="Calibri"/>
        <family val="2"/>
      </rPr>
      <t xml:space="preserve">. În a. 2021, un număr de 3,968 de deținuți a fost testat pentru HIV și își cunoaște rezultatele. </t>
    </r>
  </si>
  <si>
    <t>Toate posturile, în cadrul echipei ce gestionează Grantul curent, sunt ocupate.</t>
  </si>
  <si>
    <r>
      <rPr>
        <b/>
        <sz val="10"/>
        <rFont val="Calibri"/>
        <family val="2"/>
      </rPr>
      <t>Date finale pentru cohorta 2020.</t>
    </r>
    <r>
      <rPr>
        <sz val="10"/>
        <rFont val="Calibri"/>
        <family val="2"/>
      </rPr>
      <t xml:space="preserve"> 1,687 cazuri noi și recidive au fost notificate și acoperite cu tratament, în anul 2020 (toate formele TB - bacteriologic confirmate și diagnosticate clinic).                                                                                                                                          Notă - Indicatorul se raportează anual. Datele privind numărul estimat de cazuri TB (numitorul), pentru anul 2020, au devenit disponibile începînd cu trimestrul III.2021, după publicarea raportului anual al OMS.                                                                                                                                                                                Notă – Scăderea ratei de acoperire cu tratament antituberculos, în contextul pandemiei COVID-19, se datorează atât micșorării numărului de adresări ale pacienților cu simptome sugestive către sistemul medical, cât și întreruperii lanțului de transmitere a infecției grație măsurilor anti-epidemice implementate, în perioada vizată.</t>
    </r>
  </si>
  <si>
    <r>
      <rPr>
        <b/>
        <sz val="10"/>
        <rFont val="Calibri"/>
        <family val="2"/>
      </rPr>
      <t>Date preliminare pentru a. 2021.</t>
    </r>
    <r>
      <rPr>
        <sz val="10"/>
        <rFont val="Calibri"/>
        <family val="2"/>
      </rPr>
      <t xml:space="preserve"> 495 (378 MD, 117 MS) cazuri cu tuberculoză drog-rezistentă (RR-TB și/sau MDR-TB), confirmate bacteriologic, au fost notificate, în anul 2021, față de 872 cazuri estimate pentru perioada raportată.                  </t>
    </r>
    <r>
      <rPr>
        <b/>
        <sz val="10"/>
        <rFont val="Calibri"/>
        <family val="2"/>
      </rPr>
      <t xml:space="preserve">                                          </t>
    </r>
    <r>
      <rPr>
        <sz val="10"/>
        <rFont val="Calibri"/>
        <family val="2"/>
      </rPr>
      <t xml:space="preserve">                                           
Notă - Reducerea numărului de pacienți cu MDR TB notificați este în directă corespundere cu scăderea incidenței TB, inclusiv în contextul pandemiei COVID-19.        </t>
    </r>
  </si>
  <si>
    <r>
      <rPr>
        <b/>
        <sz val="10"/>
        <rFont val="Calibri"/>
        <family val="2"/>
      </rPr>
      <t xml:space="preserve">Date preliminare pentru cohorta a. 2021. </t>
    </r>
    <r>
      <rPr>
        <sz val="10"/>
        <rFont val="Calibri"/>
        <family val="2"/>
      </rPr>
      <t xml:space="preserve">579 cazuri cu tuberculoză drog-rezistentă (RR-TB și/sau MDR-TB), confirmate bacteriologic, au demarat tratamentul DOTS-Plus, în anul 2021, față de 872 cazuri estimate pentru perioada raportată.                                                                                                                                                                                                                      Notă - Reducerea numărului de pacienți cu RR-TB și/sau MDR-TB, înrolați în tratamentul DOTS-Plus,  este în directă corespundere cu scăderea incidenței TB, inclusiv în contextul pandemiei COVID-19.   </t>
    </r>
  </si>
  <si>
    <r>
      <rPr>
        <b/>
        <sz val="10"/>
        <rFont val="Calibri"/>
        <family val="2"/>
      </rPr>
      <t>Date finale pentru a. 2021</t>
    </r>
    <r>
      <rPr>
        <sz val="10"/>
        <rFont val="Calibri"/>
        <family val="2"/>
      </rPr>
      <t xml:space="preserve">. În a. 2021, 4,438 BSB au fost testați pentru HIV și își cunosc rezultatele, din 14,600 BSB estimați pentru această perioadă.                                                                                                                 Notă 1 - Datele sunt raportate de către toate ONG-urile active în domeniul HIV, în țară (finanțate din sursele FG și alte surse), cu excepția ANP. În pofida măsurilor anti-epidemice implementate, în perioada vizată, indicatorul prezintă o dinamică pozitivă în anii 2021 (abs. 4,438) și 2020 (abs. 2,912), în comparație cu anii 2019 (abs. 2,411) și 2018 (abs. 2,848).    
Notă 2 - În a. 2021, 4,435 BSB au fost testați pentru HIV și își cunosc rezultatele, din 3,180 BSB estimați spre acoperire, de către organizațiile contractate de către IP UCIMP DS, pentru această perioadă (139.5%).
</t>
    </r>
  </si>
  <si>
    <r>
      <rPr>
        <b/>
        <sz val="10"/>
        <rFont val="Calibri"/>
        <family val="2"/>
      </rPr>
      <t>Date finale pentru a. 2021</t>
    </r>
    <r>
      <rPr>
        <sz val="10"/>
        <rFont val="Calibri"/>
        <family val="2"/>
      </rPr>
      <t xml:space="preserve">. În a. 2021, 5,872 LS au fost testați pentru HIV și își cunosc rezultatele, din 15,800 LS estimați pentru această perioadă.                                                                                                                   Notă 1 - Datele sunt raportate de către toate ONG-urile active în domeniul HIV, în țară (finanțate din sursele FG și alte surse), cu excepția ANP. În pofida măsurilor anti-epidemice implementate, în perioada vizată, indicatorul prezintă o dinamică pozitivă în anii 2021 (abs. 5,872) și 2020 (abs. 5,304), în comparație cu anii 2019 (abs. 4,980) și 2018 (abs. 5,431).       
Notă 2 - În a. 2021, 5,656 LS au fost testați pentru HIV și își cunosc rezultatele, din 5,392 LS estimați spre acoperire, de către organizațiile contractate de către IP UCIMP DS, pentru această perioadă (104.9%).
</t>
    </r>
  </si>
  <si>
    <r>
      <rPr>
        <b/>
        <sz val="10"/>
        <rFont val="Calibri"/>
        <family val="2"/>
      </rPr>
      <t>Date finale pentru a. 2021</t>
    </r>
    <r>
      <rPr>
        <sz val="10"/>
        <rFont val="Calibri"/>
        <family val="2"/>
      </rPr>
      <t xml:space="preserve">. În a. 2021, 9,494 PCDI au fost testați pentru HIV și își cunosc rezultatele, din 27,500 PCDI estimați pentru această perioadă.                                                                                                            Notă 1 - Datele sunt raportate de către toate ONG-urile active în domeniul HIV, în țară (finanțate din sursele FG și alte surse), cu excepția ANP. În pofida măsurilor anti-epidemice implementate, în perioada vizată, indicatorul prezintă o dinamică pozitivă în anii 2021 (abs. 9,494) și 2020 (abs. 9,263), în comparație cu anii 2019 (abs. 7,922) și 2018 (abs. 10,175).
Notă 2 - În a. 2021, 9,305 PCDI au fost testați pentru HIV și își cunosc rezultatele, din 12,280 PCDI estimați spre acoperire, de către organizațiile contractate de către IP UCIMP DS, pentru această perioadă (75.8%).
</t>
    </r>
  </si>
  <si>
    <r>
      <rPr>
        <b/>
        <sz val="10"/>
        <rFont val="Calibri"/>
        <family val="2"/>
      </rPr>
      <t xml:space="preserve">Date preliminare pentru a. 2021. </t>
    </r>
    <r>
      <rPr>
        <sz val="10"/>
        <rFont val="Calibri"/>
        <family val="2"/>
      </rPr>
      <t xml:space="preserve">2,064 (1,744 MD, 320 MS) cazuri de tuberculoză, toate formele (bacteriologic confirmate și diagnosticate clinic, cazuri noi și recidive) au fost notificate către autoritatea națională, în anul 2021.                                                                                                                                Notă - Reducerea numărului cazurilor de TB (toate formele) notificate este în directă corespundere cu scăderea incidenței TB, inclusiv în contextul pandemiei COVID-19.      </t>
    </r>
  </si>
  <si>
    <r>
      <rPr>
        <b/>
        <sz val="10"/>
        <rFont val="Calibri"/>
        <family val="2"/>
      </rPr>
      <t>Date finale pentru a. 2021</t>
    </r>
    <r>
      <rPr>
        <sz val="10"/>
        <rFont val="Calibri"/>
        <family val="2"/>
      </rPr>
      <t>. La sfârșitul a. 2021, un număr de 7,267 PTH se afla în tratament ARV, din 14,597 PTH estimați pentru această perioadă.                                                                                                       Notă – În a.2021, indicatorul prezintă o dinamică stabilă de creștere în comparație cu anii precedenți: 2020 (46.48%), 2019 (38.30%), 2018 (37.04%), 2017 (28.08%), 2016 (24.64%) și 2015 (21.04%).</t>
    </r>
  </si>
  <si>
    <r>
      <rPr>
        <b/>
        <sz val="10"/>
        <rFont val="Calibri"/>
        <family val="2"/>
      </rPr>
      <t>Date finale pentru a. 2021</t>
    </r>
    <r>
      <rPr>
        <sz val="10"/>
        <rFont val="Calibri"/>
        <family val="2"/>
      </rPr>
      <t>. În a. 2021, 4,269 BSB au fost acoperiți de programele de prevenire HIV, din 14,600 BSB estimați pentru această perioadă.                                                                                                           Notă – În a.2021, indicatorul prezintă o dinamică stabilă în comparație cu anii 2020 (abs. 3,793) și 2019 (abs. 4,376).</t>
    </r>
  </si>
  <si>
    <r>
      <rPr>
        <b/>
        <sz val="10"/>
        <rFont val="Calibri"/>
        <family val="2"/>
      </rPr>
      <t>Date finale pentru a. 2021</t>
    </r>
    <r>
      <rPr>
        <sz val="10"/>
        <rFont val="Calibri"/>
        <family val="2"/>
      </rPr>
      <t>. În a. 2021, 7,646 LS au fost acoperiți de programele de prevenire HIV, din 15,800 LS estimați pentru această perioadă.                                                                                                              Notă – În a.2021, indicatorul prezintă o dinamică pozitivă în comparație cu anii 2020 (abs. 5,304) și 2019 (abs. 4,980).</t>
    </r>
  </si>
  <si>
    <r>
      <rPr>
        <b/>
        <sz val="10"/>
        <rFont val="Calibri"/>
        <family val="2"/>
      </rPr>
      <t>Date finale pentru a. 2021</t>
    </r>
    <r>
      <rPr>
        <sz val="10"/>
        <rFont val="Calibri"/>
        <family val="2"/>
      </rPr>
      <t>. În a. 2021, 16,285 PCDI au fost acoperite de programele de prevenire HIV, din 27,500 PCDI estimate pentru această perioadă.                                                                                                          Notă – În a.2021, indicatorul prezintă o dinamică stabilă în comparație cu anii 2020 (abs. 16,302) și 2019 (abs. 15,627).</t>
    </r>
  </si>
  <si>
    <t>Indicatorul se raportează anual. Datele preliminare pentru 2021 vor fi disponibile odată cu finalizarea exercițiului de estimare SPECTRUM și validarea datelor, după data de 31 mai 2022.</t>
  </si>
  <si>
    <t>În conformitate cu condițiile contractuale, au fost recepționate rapoartele de progres trimestriale ale SR-ului (Centrul PAS), pentru Q3 2021 și Q4 2021.</t>
  </si>
  <si>
    <r>
      <rPr>
        <b/>
        <sz val="10"/>
        <rFont val="Calibri"/>
        <family val="2"/>
      </rPr>
      <t>Date finale pentru a. 2021</t>
    </r>
    <r>
      <rPr>
        <sz val="10"/>
        <rFont val="Calibri"/>
        <family val="2"/>
      </rPr>
      <t>. În a. 2021, 141 BSB eligibili au inițiat tratamentul PrEP, din 4,535 BSB eligibili, care au inițiat primar acest tratament.                                                                                                                                 Notă: Luând în considerație specificul grupului BSB (cu o rată de acoperire cu programe de prevenire HIV mai joasă, înregistrată în ultimii ani, în comparație cu alte GRSI, precum PCDI și LS), și noutatea serviciului PrEP în sine (activitățile PrEP au fost introduse în Moldova în anul 2019), rata atingerii (61,1%) pentru acest indicator este foarte satisfăcătoare.</t>
    </r>
  </si>
  <si>
    <t xml:space="preserve">Analiza stocului (Q3 a. 2021) de medicamente antituberculoase pentru tratamentul tuberculozei drogrezistente, a numărului de pacienți aflați în tratament la aceeași dată, arată prezența unui stock între 4 și 6 luni, pentru preparatele TB de bază, următoarea livrare fiind așteptată în luna decembrie 2021. </t>
  </si>
  <si>
    <t xml:space="preserve">Explicația variațiilor esențiale, per module:
Modul "Servicii diferențiate de testare la HIV": (i) Amânarea, pentru trimestrul I.2022, a plăților pentru personalul medical implicat în detectarea infecțiilor HIV/ Sifilis și înrolarea în tratament, în 2021, fiind efectuate plăți doar pentru cazurile HIV+ noi identificate de ONG-uri. (ii) Economii înregistrate la procurarea testelor HIV pentru autotestare.
Modul"MDR-TB": (i) Transferul activităților de procurare de echipamente de laborator și reagenți pentru perioada trimestrelor următoare. (ii) Economii înregistrate pentru: activități finanțate prin granturi mici, pentru educare și informare; intervenții direcționate spre creșterea aderenței la tratament și prevenirea recidivelor; asigurarea suportului motivațional lunar, malul stâng; acoperirea costurilor la medicamentele pentru tratamentul DR TB.
Modul "Reducerea barierelor legate de drepturile omului, în accesarea serviciilor HIV/TB": Transferul activităților pentru perioada trimestrelor următoare.
Modul "RSSH: Sisteme de laboratoare": Economii înregistrate la: (i) procurarea echipamentului de laborator pentru LNR și LRR; (ii) participarea în programe locale/ internaționale de control al calității pentru LNR; (iii) implementarea sistemului de management al calității, în cadrul laboratoarelor de referință în bacteriologia TB.
Modul "Îngrijire și prevenire TB": Amânarea procurării medicamentelor pentru tratamentul tuberculozei latente, reieșind din stocurile existente.
Modul "COVID-19": Bugetul grantului actual a fost modificat, în conformitate cu prevederile scrisorii FG din 02.09.2021 (GF Implementation Letter Number: 4 Grant Revision, Ref.: EECA/TS/272-02/09/2021) – în perioada QIII.2021. Respectiv, o bună parte a activităților planificate au fost transferate pentru perioada QI.2022.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</si>
</sst>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 numFmtId="177" formatCode="#,##0;[Red]#,##0"/>
  </numFmts>
  <fonts count="152">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
      <b/>
      <sz val="11"/>
      <color theme="5" tint="-0.249977111117893"/>
      <name val="Arial"/>
      <family val="2"/>
    </font>
    <font>
      <sz val="11"/>
      <color theme="5" tint="-0.249977111117893"/>
      <name val="Arial"/>
      <family val="2"/>
    </font>
    <font>
      <b/>
      <sz val="11"/>
      <color theme="6" tint="-0.249977111117893"/>
      <name val="Arial"/>
      <family val="2"/>
    </font>
    <font>
      <sz val="11"/>
      <color theme="6" tint="-0.249977111117893"/>
      <name val="Arial"/>
      <family val="2"/>
    </font>
    <font>
      <sz val="11"/>
      <color theme="5" tint="-0.249977111117893"/>
      <name val="Calibri"/>
      <family val="2"/>
      <scheme val="minor"/>
    </font>
    <font>
      <b/>
      <sz val="10"/>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3"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3" fillId="0" borderId="0"/>
    <xf numFmtId="164" fontId="103" fillId="0" borderId="0"/>
    <xf numFmtId="164" fontId="103" fillId="0" borderId="0"/>
    <xf numFmtId="164" fontId="103" fillId="0" borderId="0"/>
    <xf numFmtId="170" fontId="45" fillId="0" borderId="0"/>
    <xf numFmtId="9" fontId="3" fillId="0" borderId="0" applyFont="0" applyFill="0" applyBorder="0" applyAlignment="0" applyProtection="0"/>
    <xf numFmtId="164" fontId="103"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3" fillId="0" borderId="1" applyNumberFormat="0" applyFill="0" applyAlignment="0" applyProtection="0"/>
  </cellStyleXfs>
  <cellXfs count="852">
    <xf numFmtId="170" fontId="0" fillId="0" borderId="0" xfId="0"/>
    <xf numFmtId="164" fontId="9" fillId="0" borderId="0" xfId="4" applyFont="1" applyAlignment="1">
      <alignment vertical="center"/>
    </xf>
    <xf numFmtId="164" fontId="15" fillId="0" borderId="0" xfId="4" applyFont="1" applyAlignment="1">
      <alignment vertical="center"/>
    </xf>
    <xf numFmtId="170" fontId="14" fillId="0" borderId="0" xfId="0" applyFont="1"/>
    <xf numFmtId="164" fontId="12" fillId="0" borderId="0" xfId="15" applyFont="1"/>
    <xf numFmtId="164" fontId="12" fillId="0" borderId="0" xfId="15" applyFont="1" applyAlignment="1">
      <alignment horizontal="center"/>
    </xf>
    <xf numFmtId="164" fontId="12" fillId="0" borderId="0" xfId="15" applyFont="1" applyAlignment="1">
      <alignment horizontal="right"/>
    </xf>
    <xf numFmtId="164" fontId="103" fillId="0" borderId="0" xfId="14"/>
    <xf numFmtId="164" fontId="8" fillId="0" borderId="0" xfId="14" applyFont="1"/>
    <xf numFmtId="170" fontId="11" fillId="0" borderId="0" xfId="14" applyNumberFormat="1" applyFont="1"/>
    <xf numFmtId="164" fontId="103" fillId="0" borderId="0" xfId="16"/>
    <xf numFmtId="164" fontId="103" fillId="0" borderId="0" xfId="16" applyAlignment="1">
      <alignment horizontal="left"/>
    </xf>
    <xf numFmtId="170" fontId="8" fillId="0" borderId="0" xfId="0" applyFont="1"/>
    <xf numFmtId="164" fontId="8" fillId="0" borderId="0" xfId="16" applyFont="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6" fillId="0" borderId="0" xfId="0" applyFont="1"/>
    <xf numFmtId="170" fontId="0" fillId="0" borderId="2" xfId="0" applyBorder="1"/>
    <xf numFmtId="170" fontId="0" fillId="0" borderId="0" xfId="0" applyAlignment="1">
      <alignment horizontal="center"/>
    </xf>
    <xf numFmtId="170" fontId="8" fillId="0" borderId="0" xfId="0" applyFont="1" applyAlignment="1">
      <alignment horizontal="center"/>
    </xf>
    <xf numFmtId="170" fontId="16" fillId="0" borderId="0" xfId="0" applyFont="1"/>
    <xf numFmtId="170" fontId="8" fillId="0" borderId="0" xfId="0" applyFont="1" applyAlignment="1">
      <alignment horizontal="left" indent="1"/>
    </xf>
    <xf numFmtId="170" fontId="11" fillId="0" borderId="0" xfId="0" applyFont="1" applyAlignment="1">
      <alignment horizontal="left" indent="1"/>
    </xf>
    <xf numFmtId="164" fontId="47" fillId="0" borderId="0" xfId="14" applyFont="1"/>
    <xf numFmtId="164" fontId="47" fillId="0" borderId="0" xfId="16" applyFont="1"/>
    <xf numFmtId="170" fontId="47" fillId="0" borderId="2" xfId="0" applyFont="1" applyBorder="1" applyAlignment="1">
      <alignment horizontal="center"/>
    </xf>
    <xf numFmtId="170" fontId="47" fillId="0" borderId="2" xfId="0" applyFont="1" applyBorder="1"/>
    <xf numFmtId="164" fontId="47" fillId="0" borderId="2" xfId="16" applyFont="1" applyBorder="1"/>
    <xf numFmtId="170" fontId="48" fillId="0" borderId="2" xfId="0" applyFont="1" applyBorder="1" applyAlignment="1">
      <alignment horizontal="left" indent="1"/>
    </xf>
    <xf numFmtId="170" fontId="49" fillId="0" borderId="2" xfId="0" applyFont="1" applyBorder="1"/>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Alignment="1">
      <alignment vertical="center"/>
    </xf>
    <xf numFmtId="170" fontId="7" fillId="0" borderId="0" xfId="0" applyFont="1"/>
    <xf numFmtId="170" fontId="53" fillId="2" borderId="4" xfId="0" applyFont="1" applyFill="1" applyBorder="1" applyAlignment="1">
      <alignment vertical="center"/>
    </xf>
    <xf numFmtId="170" fontId="51" fillId="0" borderId="0" xfId="18" applyFont="1" applyAlignment="1">
      <alignment horizontal="center" vertical="center" wrapText="1"/>
    </xf>
    <xf numFmtId="170" fontId="51" fillId="4" borderId="5" xfId="18" applyFont="1" applyFill="1" applyBorder="1" applyAlignment="1">
      <alignment horizontal="center" vertical="center" wrapText="1"/>
    </xf>
    <xf numFmtId="170" fontId="54" fillId="0" borderId="0" xfId="0" applyFont="1" applyAlignment="1">
      <alignment horizontal="left"/>
    </xf>
    <xf numFmtId="15" fontId="0" fillId="0" borderId="0" xfId="0" applyNumberFormat="1"/>
    <xf numFmtId="170" fontId="0" fillId="0" borderId="2" xfId="0" quotePrefix="1" applyBorder="1"/>
    <xf numFmtId="164" fontId="24" fillId="0" borderId="6" xfId="23" applyFont="1" applyBorder="1" applyAlignment="1" applyProtection="1"/>
    <xf numFmtId="164" fontId="103"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3"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lignment horizontal="center"/>
    </xf>
    <xf numFmtId="15" fontId="25" fillId="0" borderId="8" xfId="0" applyNumberFormat="1" applyFont="1" applyBorder="1" applyAlignment="1">
      <alignment horizontal="center"/>
    </xf>
    <xf numFmtId="170" fontId="25" fillId="0" borderId="9" xfId="0" applyFont="1" applyBorder="1" applyAlignment="1">
      <alignment horizontal="center"/>
    </xf>
    <xf numFmtId="166" fontId="8" fillId="0" borderId="0" xfId="0" applyNumberFormat="1" applyFont="1"/>
    <xf numFmtId="10" fontId="4" fillId="0" borderId="0" xfId="19" applyNumberFormat="1" applyFont="1" applyFill="1" applyBorder="1" applyAlignment="1" applyProtection="1">
      <alignment horizontal="center"/>
    </xf>
    <xf numFmtId="170" fontId="4" fillId="0" borderId="0" xfId="0" applyFont="1"/>
    <xf numFmtId="170" fontId="19" fillId="0" borderId="0" xfId="0" applyFont="1" applyAlignment="1">
      <alignment horizontal="centerContinuous"/>
    </xf>
    <xf numFmtId="170" fontId="0" fillId="0" borderId="0" xfId="0" applyAlignment="1">
      <alignment horizontal="centerContinuous"/>
    </xf>
    <xf numFmtId="15" fontId="19" fillId="0" borderId="10" xfId="0" applyNumberFormat="1" applyFont="1" applyBorder="1"/>
    <xf numFmtId="170" fontId="19" fillId="0" borderId="10" xfId="0" applyFont="1" applyBorder="1"/>
    <xf numFmtId="170" fontId="19" fillId="0" borderId="11" xfId="0" applyFont="1" applyBorder="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Alignment="1">
      <alignment horizontal="center"/>
    </xf>
    <xf numFmtId="170" fontId="7" fillId="0" borderId="13" xfId="0" applyFont="1" applyBorder="1" applyAlignment="1">
      <alignment horizontal="center"/>
    </xf>
    <xf numFmtId="170" fontId="7" fillId="0" borderId="13" xfId="0" applyFont="1" applyBorder="1" applyAlignment="1">
      <alignment horizontal="center" wrapText="1"/>
    </xf>
    <xf numFmtId="170" fontId="7" fillId="0" borderId="14" xfId="0" applyFont="1" applyBorder="1" applyAlignment="1">
      <alignment horizontal="center"/>
    </xf>
    <xf numFmtId="170" fontId="7" fillId="0" borderId="15" xfId="0" applyFont="1" applyBorder="1" applyAlignment="1">
      <alignment horizontal="center"/>
    </xf>
    <xf numFmtId="170" fontId="7" fillId="0" borderId="16" xfId="0" applyFont="1" applyBorder="1" applyAlignment="1">
      <alignment horizontal="center"/>
    </xf>
    <xf numFmtId="1" fontId="14" fillId="3" borderId="17" xfId="0" applyNumberFormat="1" applyFont="1" applyFill="1" applyBorder="1" applyAlignment="1">
      <alignment horizontal="center"/>
    </xf>
    <xf numFmtId="170" fontId="0" fillId="0" borderId="18" xfId="0" applyBorder="1"/>
    <xf numFmtId="170" fontId="0" fillId="0" borderId="14" xfId="0" applyBorder="1" applyAlignment="1">
      <alignment horizontal="center"/>
    </xf>
    <xf numFmtId="170" fontId="0" fillId="0" borderId="16" xfId="0" applyBorder="1" applyAlignment="1">
      <alignment horizontal="center"/>
    </xf>
    <xf numFmtId="170" fontId="25" fillId="0" borderId="13" xfId="0" applyFont="1" applyBorder="1" applyAlignment="1">
      <alignment horizontal="center"/>
    </xf>
    <xf numFmtId="170" fontId="25" fillId="0" borderId="14" xfId="0" applyFont="1" applyBorder="1" applyAlignment="1">
      <alignment horizontal="center"/>
    </xf>
    <xf numFmtId="170" fontId="0" fillId="0" borderId="0" xfId="0" applyAlignment="1">
      <alignment horizontal="center" wrapText="1"/>
    </xf>
    <xf numFmtId="164" fontId="72" fillId="0" borderId="0" xfId="1" applyFont="1" applyFill="1" applyBorder="1" applyProtection="1"/>
    <xf numFmtId="164" fontId="0" fillId="0" borderId="0" xfId="0" applyNumberFormat="1"/>
    <xf numFmtId="164" fontId="46" fillId="0" borderId="19" xfId="23" applyFont="1" applyFill="1" applyBorder="1" applyAlignment="1" applyProtection="1"/>
    <xf numFmtId="164" fontId="32" fillId="0" borderId="19" xfId="23" applyFont="1" applyFill="1" applyBorder="1" applyAlignment="1" applyProtection="1">
      <alignment vertical="center"/>
    </xf>
    <xf numFmtId="166" fontId="21" fillId="0" borderId="0" xfId="1" applyNumberFormat="1" applyFont="1" applyAlignment="1" applyProtection="1">
      <alignment horizontal="left"/>
    </xf>
    <xf numFmtId="15" fontId="21" fillId="0" borderId="0" xfId="0" applyNumberFormat="1" applyFont="1" applyAlignment="1">
      <alignment horizontal="left"/>
    </xf>
    <xf numFmtId="166" fontId="21" fillId="0" borderId="0" xfId="1" applyNumberFormat="1" applyFont="1" applyBorder="1" applyAlignment="1" applyProtection="1">
      <alignment horizontal="left"/>
    </xf>
    <xf numFmtId="170" fontId="12" fillId="0" borderId="0" xfId="0" applyFont="1" applyAlignment="1">
      <alignment horizontal="center"/>
    </xf>
    <xf numFmtId="170" fontId="0" fillId="0" borderId="14" xfId="0" applyBorder="1" applyAlignment="1">
      <alignment horizontal="center" wrapText="1"/>
    </xf>
    <xf numFmtId="170" fontId="35" fillId="0" borderId="0" xfId="0" applyFont="1" applyAlignment="1">
      <alignment horizontal="left" vertical="center"/>
    </xf>
    <xf numFmtId="170" fontId="35" fillId="0" borderId="0" xfId="0" applyFont="1" applyAlignment="1">
      <alignment horizontal="left"/>
    </xf>
    <xf numFmtId="167" fontId="35" fillId="0" borderId="0" xfId="0" applyNumberFormat="1" applyFont="1" applyAlignment="1">
      <alignment horizontal="left"/>
    </xf>
    <xf numFmtId="170" fontId="37" fillId="0" borderId="0" xfId="0" applyFont="1" applyAlignment="1">
      <alignment horizontal="right"/>
    </xf>
    <xf numFmtId="3" fontId="40" fillId="0" borderId="0" xfId="0" applyNumberFormat="1" applyFont="1" applyAlignment="1">
      <alignment horizontal="right" vertical="center"/>
    </xf>
    <xf numFmtId="170" fontId="38" fillId="3" borderId="0" xfId="0" applyFont="1" applyFill="1" applyAlignment="1">
      <alignment horizontal="right"/>
    </xf>
    <xf numFmtId="170" fontId="39" fillId="3" borderId="0" xfId="0" applyFont="1" applyFill="1" applyAlignment="1">
      <alignment horizontal="center" vertical="center"/>
    </xf>
    <xf numFmtId="170" fontId="43" fillId="0" borderId="0" xfId="0" applyFont="1" applyAlignment="1">
      <alignment horizontal="center"/>
    </xf>
    <xf numFmtId="170" fontId="38" fillId="0" borderId="0" xfId="0" applyFont="1" applyAlignment="1">
      <alignment horizontal="right"/>
    </xf>
    <xf numFmtId="170" fontId="47" fillId="0" borderId="0" xfId="0" applyFont="1"/>
    <xf numFmtId="170" fontId="21" fillId="0" borderId="0" xfId="0" applyFont="1" applyAlignment="1">
      <alignment horizontal="center"/>
    </xf>
    <xf numFmtId="15" fontId="21" fillId="0" borderId="0" xfId="0" applyNumberFormat="1" applyFont="1" applyAlignment="1">
      <alignment horizontal="center"/>
    </xf>
    <xf numFmtId="164" fontId="0" fillId="0" borderId="0" xfId="0" applyNumberFormat="1" applyAlignment="1">
      <alignment horizontal="right"/>
    </xf>
    <xf numFmtId="3" fontId="0" fillId="0" borderId="0" xfId="0" applyNumberFormat="1"/>
    <xf numFmtId="164" fontId="30" fillId="0" borderId="0" xfId="0" applyNumberFormat="1" applyFont="1"/>
    <xf numFmtId="3" fontId="8" fillId="3" borderId="0" xfId="0" applyNumberFormat="1" applyFont="1" applyFill="1"/>
    <xf numFmtId="165" fontId="8" fillId="3" borderId="0" xfId="0" applyNumberFormat="1" applyFont="1" applyFill="1"/>
    <xf numFmtId="170" fontId="21" fillId="0" borderId="23" xfId="0" applyFont="1" applyBorder="1" applyAlignment="1">
      <alignment horizontal="center" wrapText="1"/>
    </xf>
    <xf numFmtId="170" fontId="0" fillId="0" borderId="24" xfId="0" applyBorder="1"/>
    <xf numFmtId="164" fontId="10" fillId="0" borderId="0" xfId="12" applyFont="1" applyAlignment="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3" fillId="0" borderId="0" xfId="17" applyAlignment="1">
      <alignment horizontal="center"/>
    </xf>
    <xf numFmtId="170" fontId="27" fillId="0" borderId="0" xfId="0" quotePrefix="1" applyFont="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Border="1" applyAlignment="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xf numFmtId="15" fontId="29" fillId="0" borderId="0" xfId="0" applyNumberFormat="1" applyFont="1" applyAlignment="1">
      <alignment horizontal="center"/>
    </xf>
    <xf numFmtId="166" fontId="0" fillId="0" borderId="0" xfId="0" applyNumberFormat="1"/>
    <xf numFmtId="170" fontId="74" fillId="0" borderId="0" xfId="0" applyFont="1" applyAlignment="1">
      <alignment horizontal="right"/>
    </xf>
    <xf numFmtId="164" fontId="75" fillId="0" borderId="6" xfId="23" applyFont="1" applyFill="1" applyBorder="1" applyAlignment="1" applyProtection="1">
      <alignment horizontal="left" vertical="center"/>
    </xf>
    <xf numFmtId="170" fontId="76" fillId="0" borderId="0" xfId="0" applyFont="1"/>
    <xf numFmtId="170" fontId="74" fillId="0" borderId="0" xfId="0" applyFont="1"/>
    <xf numFmtId="3" fontId="4" fillId="0" borderId="0" xfId="0" applyNumberFormat="1" applyFont="1" applyAlignment="1">
      <alignment horizontal="right"/>
    </xf>
    <xf numFmtId="15" fontId="73" fillId="0" borderId="0" xfId="0" applyNumberFormat="1" applyFont="1" applyAlignment="1">
      <alignment horizontal="left"/>
    </xf>
    <xf numFmtId="170" fontId="79" fillId="0" borderId="0" xfId="0" applyFont="1" applyAlignment="1">
      <alignment horizontal="center" wrapText="1"/>
    </xf>
    <xf numFmtId="170" fontId="0" fillId="0" borderId="0" xfId="0" quotePrefix="1"/>
    <xf numFmtId="15" fontId="25" fillId="0" borderId="32" xfId="0" applyNumberFormat="1" applyFont="1" applyBorder="1" applyAlignment="1">
      <alignment horizontal="center"/>
    </xf>
    <xf numFmtId="15" fontId="22" fillId="0" borderId="0" xfId="0" applyNumberFormat="1" applyFont="1" applyAlignment="1">
      <alignment horizontal="center" vertical="center" wrapText="1"/>
    </xf>
    <xf numFmtId="164" fontId="84" fillId="0" borderId="0" xfId="4" applyFont="1" applyAlignment="1">
      <alignment vertical="center"/>
    </xf>
    <xf numFmtId="170" fontId="85" fillId="0" borderId="0" xfId="0" applyFont="1"/>
    <xf numFmtId="170" fontId="71" fillId="0" borderId="0" xfId="0" applyFont="1" applyAlignment="1">
      <alignment horizontal="center" vertical="center"/>
    </xf>
    <xf numFmtId="170" fontId="4" fillId="0" borderId="33" xfId="0" applyFont="1" applyBorder="1"/>
    <xf numFmtId="170" fontId="4" fillId="0" borderId="34" xfId="0" applyFont="1" applyBorder="1"/>
    <xf numFmtId="170" fontId="18" fillId="0" borderId="35" xfId="0" applyFont="1" applyBorder="1" applyAlignment="1">
      <alignment vertical="distributed"/>
    </xf>
    <xf numFmtId="15" fontId="20" fillId="0" borderId="36" xfId="0" applyNumberFormat="1" applyFont="1" applyBorder="1" applyAlignment="1">
      <alignment horizontal="center" vertical="center" wrapText="1"/>
    </xf>
    <xf numFmtId="170" fontId="19" fillId="0" borderId="37" xfId="0" applyFont="1" applyBorder="1"/>
    <xf numFmtId="15" fontId="19" fillId="0" borderId="2" xfId="0" applyNumberFormat="1" applyFont="1" applyBorder="1" applyAlignment="1">
      <alignment horizontal="center"/>
    </xf>
    <xf numFmtId="15" fontId="19" fillId="0" borderId="38" xfId="0" applyNumberFormat="1" applyFont="1" applyBorder="1" applyAlignment="1">
      <alignment horizontal="center"/>
    </xf>
    <xf numFmtId="15" fontId="81" fillId="0" borderId="24" xfId="0" applyNumberFormat="1" applyFont="1" applyBorder="1" applyAlignment="1">
      <alignment horizontal="center" wrapText="1"/>
    </xf>
    <xf numFmtId="15" fontId="81" fillId="0" borderId="39" xfId="0" applyNumberFormat="1" applyFont="1" applyBorder="1" applyAlignment="1">
      <alignment horizontal="center" wrapText="1"/>
    </xf>
    <xf numFmtId="170" fontId="73" fillId="0" borderId="0" xfId="0" applyFont="1" applyAlignment="1">
      <alignment horizontal="center"/>
    </xf>
    <xf numFmtId="170" fontId="78" fillId="0" borderId="0" xfId="0" applyFont="1" applyAlignment="1">
      <alignment horizontal="center" vertical="center"/>
    </xf>
    <xf numFmtId="170" fontId="0" fillId="0" borderId="40" xfId="0" applyBorder="1" applyAlignment="1">
      <alignment horizontal="center"/>
    </xf>
    <xf numFmtId="170" fontId="0" fillId="0" borderId="24" xfId="0" applyBorder="1" applyAlignment="1">
      <alignment horizontal="center"/>
    </xf>
    <xf numFmtId="170" fontId="1" fillId="0" borderId="23" xfId="0" applyFont="1" applyBorder="1" applyAlignment="1">
      <alignment horizontal="center" wrapText="1"/>
    </xf>
    <xf numFmtId="170" fontId="1" fillId="0" borderId="39" xfId="0" applyFont="1" applyBorder="1" applyAlignment="1">
      <alignment horizontal="center" wrapText="1"/>
    </xf>
    <xf numFmtId="170" fontId="51" fillId="0" borderId="41" xfId="0" applyFont="1" applyBorder="1" applyAlignment="1">
      <alignment horizontal="center" vertical="center"/>
    </xf>
    <xf numFmtId="164" fontId="81" fillId="0" borderId="0" xfId="0" applyNumberFormat="1" applyFont="1" applyAlignment="1">
      <alignment vertical="center" wrapText="1"/>
    </xf>
    <xf numFmtId="170" fontId="81" fillId="0" borderId="0" xfId="0" applyFont="1" applyAlignment="1">
      <alignment wrapText="1"/>
    </xf>
    <xf numFmtId="164" fontId="13" fillId="0" borderId="25" xfId="20" applyFont="1" applyFill="1" applyBorder="1" applyAlignment="1" applyProtection="1">
      <alignment horizontal="right"/>
    </xf>
    <xf numFmtId="170" fontId="27" fillId="0" borderId="42" xfId="0" applyFont="1" applyBorder="1" applyAlignment="1">
      <alignment horizontal="center" wrapText="1"/>
    </xf>
    <xf numFmtId="170" fontId="21" fillId="0" borderId="0" xfId="0" applyFont="1" applyAlignment="1">
      <alignment wrapText="1"/>
    </xf>
    <xf numFmtId="9" fontId="83" fillId="8" borderId="2" xfId="19" applyFont="1" applyFill="1" applyBorder="1" applyAlignment="1" applyProtection="1">
      <alignment horizontal="center" vertical="center" wrapText="1"/>
    </xf>
    <xf numFmtId="170" fontId="0" fillId="0" borderId="19" xfId="0" applyBorder="1"/>
    <xf numFmtId="164" fontId="86" fillId="0" borderId="19" xfId="23" applyFont="1" applyFill="1" applyBorder="1" applyAlignment="1" applyProtection="1">
      <alignment vertical="center"/>
    </xf>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70" fontId="27" fillId="0" borderId="23" xfId="0" applyFont="1" applyBorder="1" applyAlignment="1">
      <alignment horizontal="center" wrapText="1"/>
    </xf>
    <xf numFmtId="49" fontId="0" fillId="0" borderId="0" xfId="0" applyNumberFormat="1"/>
    <xf numFmtId="3" fontId="0" fillId="0" borderId="2" xfId="0" applyNumberFormat="1" applyBorder="1"/>
    <xf numFmtId="4" fontId="0" fillId="0" borderId="0" xfId="0" applyNumberFormat="1"/>
    <xf numFmtId="170" fontId="0" fillId="0" borderId="50" xfId="0" applyBorder="1" applyAlignment="1">
      <alignment horizontal="center"/>
    </xf>
    <xf numFmtId="164" fontId="93" fillId="0" borderId="0" xfId="16" applyFont="1"/>
    <xf numFmtId="3" fontId="21" fillId="9" borderId="45" xfId="0" applyNumberFormat="1" applyFont="1" applyFill="1" applyBorder="1" applyProtection="1">
      <protection locked="0"/>
    </xf>
    <xf numFmtId="3" fontId="21" fillId="9" borderId="51" xfId="0" applyNumberFormat="1" applyFont="1" applyFill="1" applyBorder="1" applyProtection="1">
      <protection locked="0"/>
    </xf>
    <xf numFmtId="3" fontId="21" fillId="0" borderId="2" xfId="0" applyNumberFormat="1" applyFont="1" applyBorder="1"/>
    <xf numFmtId="3" fontId="21" fillId="0" borderId="52" xfId="0" applyNumberFormat="1" applyFont="1" applyBorder="1"/>
    <xf numFmtId="170" fontId="0" fillId="9" borderId="2" xfId="0" applyFill="1" applyBorder="1"/>
    <xf numFmtId="170" fontId="0" fillId="6" borderId="2" xfId="0" applyFill="1" applyBorder="1"/>
    <xf numFmtId="49" fontId="18" fillId="0" borderId="57" xfId="0" applyNumberFormat="1" applyFont="1" applyBorder="1" applyAlignment="1">
      <alignment vertical="center" wrapText="1"/>
    </xf>
    <xf numFmtId="170" fontId="63" fillId="0" borderId="58" xfId="0" applyFont="1" applyBorder="1" applyAlignment="1">
      <alignment horizontal="center" vertical="center" wrapText="1"/>
    </xf>
    <xf numFmtId="170" fontId="63" fillId="0" borderId="59" xfId="0" applyFont="1" applyBorder="1" applyAlignment="1">
      <alignment horizontal="center" vertical="center" wrapText="1"/>
    </xf>
    <xf numFmtId="170" fontId="0" fillId="0" borderId="61" xfId="0" applyBorder="1"/>
    <xf numFmtId="164" fontId="103" fillId="9" borderId="62" xfId="23" applyFill="1" applyBorder="1" applyAlignment="1" applyProtection="1">
      <alignment vertical="center"/>
    </xf>
    <xf numFmtId="170" fontId="0" fillId="0" borderId="12" xfId="0" applyBorder="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Border="1"/>
    <xf numFmtId="15" fontId="20" fillId="0" borderId="67" xfId="0" applyNumberFormat="1" applyFont="1" applyBorder="1" applyAlignment="1">
      <alignment horizontal="center" vertical="center" wrapText="1"/>
    </xf>
    <xf numFmtId="170" fontId="0" fillId="0" borderId="2" xfId="0" quotePrefix="1" applyBorder="1" applyAlignment="1">
      <alignment horizontal="center"/>
    </xf>
    <xf numFmtId="168" fontId="0" fillId="0" borderId="2" xfId="0" applyNumberFormat="1" applyBorder="1" applyAlignment="1">
      <alignment horizontal="center"/>
    </xf>
    <xf numFmtId="164" fontId="47" fillId="0" borderId="2" xfId="16" applyFont="1" applyBorder="1" applyAlignment="1">
      <alignment horizontal="center"/>
    </xf>
    <xf numFmtId="170" fontId="45" fillId="10" borderId="2" xfId="0" applyFont="1" applyFill="1" applyBorder="1" applyAlignment="1">
      <alignment horizontal="center"/>
    </xf>
    <xf numFmtId="170" fontId="45" fillId="11" borderId="2" xfId="0" applyFont="1" applyFill="1" applyBorder="1" applyAlignment="1">
      <alignment horizontal="center"/>
    </xf>
    <xf numFmtId="170" fontId="0" fillId="0" borderId="44" xfId="0" applyBorder="1"/>
    <xf numFmtId="3" fontId="0" fillId="0" borderId="44" xfId="0" applyNumberFormat="1" applyBorder="1"/>
    <xf numFmtId="168" fontId="0" fillId="0" borderId="44" xfId="0" applyNumberFormat="1" applyBorder="1" applyAlignment="1">
      <alignment horizontal="center"/>
    </xf>
    <xf numFmtId="170" fontId="0" fillId="0" borderId="81" xfId="0" applyBorder="1" applyAlignment="1">
      <alignment horizontal="center" wrapText="1"/>
    </xf>
    <xf numFmtId="168" fontId="0" fillId="0" borderId="82" xfId="0" applyNumberFormat="1" applyBorder="1"/>
    <xf numFmtId="168" fontId="0" fillId="0" borderId="83" xfId="0" applyNumberFormat="1" applyBorder="1"/>
    <xf numFmtId="170" fontId="99" fillId="0" borderId="2" xfId="0" applyFont="1" applyBorder="1" applyAlignment="1">
      <alignment horizontal="center"/>
    </xf>
    <xf numFmtId="170" fontId="99" fillId="10" borderId="2" xfId="0" applyFont="1" applyFill="1" applyBorder="1" applyAlignment="1">
      <alignment horizontal="center"/>
    </xf>
    <xf numFmtId="164" fontId="100" fillId="0" borderId="12" xfId="23" applyFont="1" applyFill="1" applyBorder="1" applyAlignment="1" applyProtection="1">
      <alignment vertical="center"/>
    </xf>
    <xf numFmtId="164" fontId="26" fillId="0" borderId="0" xfId="0" applyNumberFormat="1" applyFont="1" applyAlignment="1">
      <alignment horizontal="center"/>
    </xf>
    <xf numFmtId="170" fontId="51" fillId="0" borderId="84" xfId="0" applyFont="1" applyBorder="1" applyAlignment="1">
      <alignment horizontal="center" vertical="center" wrapText="1"/>
    </xf>
    <xf numFmtId="170" fontId="99" fillId="0" borderId="78" xfId="0" applyFont="1" applyBorder="1" applyAlignment="1">
      <alignment horizontal="center"/>
    </xf>
    <xf numFmtId="170" fontId="101" fillId="0" borderId="85" xfId="0" applyFont="1" applyBorder="1" applyAlignment="1">
      <alignment wrapText="1"/>
    </xf>
    <xf numFmtId="170" fontId="27" fillId="0" borderId="24" xfId="0" applyFont="1" applyBorder="1" applyAlignment="1">
      <alignment horizontal="center" wrapText="1"/>
    </xf>
    <xf numFmtId="170" fontId="85" fillId="0" borderId="0" xfId="0" applyFont="1" applyAlignment="1">
      <alignment horizontal="right"/>
    </xf>
    <xf numFmtId="170" fontId="104" fillId="0" borderId="0" xfId="0" applyFont="1" applyAlignment="1">
      <alignment horizontal="left" vertical="center"/>
    </xf>
    <xf numFmtId="3" fontId="30" fillId="0" borderId="37" xfId="0" applyNumberFormat="1" applyFont="1" applyBorder="1" applyAlignment="1">
      <alignment horizontal="center"/>
    </xf>
    <xf numFmtId="3" fontId="30" fillId="0" borderId="81" xfId="0" applyNumberFormat="1" applyFont="1" applyBorder="1" applyAlignment="1">
      <alignment horizontal="center"/>
    </xf>
    <xf numFmtId="171" fontId="17" fillId="6" borderId="25" xfId="20" applyNumberFormat="1" applyFont="1" applyFill="1" applyBorder="1" applyAlignment="1" applyProtection="1">
      <alignment horizontal="center" vertical="center"/>
    </xf>
    <xf numFmtId="170" fontId="51" fillId="0" borderId="88" xfId="0" applyFont="1" applyBorder="1" applyAlignment="1">
      <alignment horizontal="center" vertical="center" wrapText="1"/>
    </xf>
    <xf numFmtId="170" fontId="38" fillId="0" borderId="89" xfId="0" applyFont="1" applyBorder="1" applyAlignment="1">
      <alignment horizontal="right"/>
    </xf>
    <xf numFmtId="170" fontId="51" fillId="0" borderId="90" xfId="0" applyFont="1" applyBorder="1" applyAlignment="1">
      <alignment horizontal="center"/>
    </xf>
    <xf numFmtId="170" fontId="38" fillId="0" borderId="91" xfId="0" applyFont="1" applyBorder="1" applyAlignment="1">
      <alignment horizontal="right"/>
    </xf>
    <xf numFmtId="170" fontId="51" fillId="0" borderId="92" xfId="0" applyFont="1" applyBorder="1" applyAlignment="1">
      <alignment horizontal="center"/>
    </xf>
    <xf numFmtId="170" fontId="38" fillId="0" borderId="93" xfId="0" applyFont="1" applyBorder="1" applyAlignment="1">
      <alignment horizontal="right"/>
    </xf>
    <xf numFmtId="170" fontId="51" fillId="0" borderId="94" xfId="0" applyFont="1" applyBorder="1" applyAlignment="1">
      <alignment horizontal="center"/>
    </xf>
    <xf numFmtId="170" fontId="38" fillId="0" borderId="95" xfId="0" applyFont="1" applyBorder="1" applyAlignment="1">
      <alignment horizontal="right"/>
    </xf>
    <xf numFmtId="170" fontId="51" fillId="0" borderId="96" xfId="0" applyFont="1" applyBorder="1" applyAlignment="1">
      <alignment horizontal="center" vertical="center"/>
    </xf>
    <xf numFmtId="170" fontId="38" fillId="0" borderId="97" xfId="0" applyFont="1" applyBorder="1" applyAlignment="1">
      <alignment horizontal="right"/>
    </xf>
    <xf numFmtId="170" fontId="51" fillId="0" borderId="98" xfId="0" applyFont="1" applyBorder="1" applyAlignment="1">
      <alignment horizontal="center"/>
    </xf>
    <xf numFmtId="170" fontId="38" fillId="0" borderId="99" xfId="0" applyFont="1" applyBorder="1" applyAlignment="1">
      <alignment horizontal="right"/>
    </xf>
    <xf numFmtId="170" fontId="51" fillId="0" borderId="98" xfId="0" applyFont="1" applyBorder="1" applyAlignment="1">
      <alignment horizontal="center" vertical="center"/>
    </xf>
    <xf numFmtId="3" fontId="80" fillId="9" borderId="45" xfId="0" applyNumberFormat="1" applyFont="1" applyFill="1" applyBorder="1" applyProtection="1">
      <protection locked="0"/>
    </xf>
    <xf numFmtId="3" fontId="80" fillId="9" borderId="51" xfId="0" applyNumberFormat="1" applyFont="1" applyFill="1" applyBorder="1" applyProtection="1">
      <protection locked="0"/>
    </xf>
    <xf numFmtId="3" fontId="80" fillId="0" borderId="2" xfId="0" applyNumberFormat="1" applyFont="1" applyBorder="1"/>
    <xf numFmtId="3" fontId="80" fillId="0" borderId="52" xfId="0" applyNumberFormat="1" applyFont="1" applyBorder="1"/>
    <xf numFmtId="3" fontId="106" fillId="9" borderId="82" xfId="0" applyNumberFormat="1" applyFont="1" applyFill="1" applyBorder="1" applyAlignment="1">
      <alignment horizontal="centerContinuous"/>
    </xf>
    <xf numFmtId="171" fontId="21" fillId="0" borderId="0" xfId="0" applyNumberFormat="1" applyFont="1" applyAlignment="1">
      <alignment horizontal="center"/>
    </xf>
    <xf numFmtId="170" fontId="99" fillId="19" borderId="2" xfId="0" applyFont="1" applyFill="1" applyBorder="1" applyAlignment="1">
      <alignment horizontal="center"/>
    </xf>
    <xf numFmtId="175" fontId="21" fillId="0" borderId="2" xfId="0" applyNumberFormat="1" applyFont="1" applyBorder="1" applyAlignment="1">
      <alignment horizontal="center" vertical="center" wrapText="1"/>
    </xf>
    <xf numFmtId="165" fontId="8" fillId="0" borderId="0" xfId="0" applyNumberFormat="1" applyFont="1"/>
    <xf numFmtId="170" fontId="77" fillId="0" borderId="0" xfId="0" applyFont="1" applyAlignment="1">
      <alignment horizontal="center" vertical="center"/>
    </xf>
    <xf numFmtId="170" fontId="4" fillId="0" borderId="0" xfId="0" applyFont="1" applyAlignment="1">
      <alignment horizontal="centerContinuous"/>
    </xf>
    <xf numFmtId="15" fontId="4" fillId="0" borderId="0" xfId="0" applyNumberFormat="1" applyFont="1" applyAlignment="1">
      <alignment horizontal="centerContinuous"/>
    </xf>
    <xf numFmtId="15" fontId="4" fillId="0" borderId="0" xfId="0" applyNumberFormat="1" applyFont="1" applyAlignment="1">
      <alignment horizontal="center"/>
    </xf>
    <xf numFmtId="170" fontId="34" fillId="0" borderId="0" xfId="0" applyFont="1" applyAlignment="1">
      <alignment horizontal="center"/>
    </xf>
    <xf numFmtId="170" fontId="111" fillId="0" borderId="0" xfId="0" applyFont="1" applyAlignment="1">
      <alignment horizontal="right"/>
    </xf>
    <xf numFmtId="170" fontId="111" fillId="0" borderId="86" xfId="0" applyFont="1" applyBorder="1" applyAlignment="1">
      <alignment horizontal="right"/>
    </xf>
    <xf numFmtId="3" fontId="14" fillId="9" borderId="45" xfId="0" applyNumberFormat="1" applyFont="1" applyFill="1" applyBorder="1" applyProtection="1">
      <protection locked="0"/>
    </xf>
    <xf numFmtId="3" fontId="14" fillId="0" borderId="215" xfId="0" applyNumberFormat="1" applyFont="1" applyBorder="1"/>
    <xf numFmtId="1" fontId="14" fillId="3" borderId="106" xfId="0" applyNumberFormat="1" applyFont="1" applyFill="1" applyBorder="1" applyAlignment="1">
      <alignment horizontal="center"/>
    </xf>
    <xf numFmtId="3" fontId="105" fillId="0" borderId="17" xfId="0" applyNumberFormat="1" applyFont="1" applyBorder="1" applyAlignment="1">
      <alignment horizontal="center"/>
    </xf>
    <xf numFmtId="170" fontId="105" fillId="0" borderId="0" xfId="0" applyFont="1"/>
    <xf numFmtId="1" fontId="105" fillId="0" borderId="106" xfId="0" applyNumberFormat="1" applyFont="1" applyBorder="1" applyAlignment="1">
      <alignment horizontal="center"/>
    </xf>
    <xf numFmtId="9" fontId="112" fillId="0" borderId="0" xfId="0" applyNumberFormat="1" applyFont="1"/>
    <xf numFmtId="170" fontId="91" fillId="0" borderId="0" xfId="0" applyFont="1" applyAlignment="1">
      <alignment horizontal="center" vertical="center"/>
    </xf>
    <xf numFmtId="9" fontId="112" fillId="0" borderId="0" xfId="0" applyNumberFormat="1" applyFont="1" applyAlignment="1">
      <alignment horizontal="center"/>
    </xf>
    <xf numFmtId="169" fontId="40" fillId="3" borderId="0" xfId="0" applyNumberFormat="1" applyFont="1" applyFill="1" applyAlignment="1">
      <alignment vertical="center"/>
    </xf>
    <xf numFmtId="170" fontId="91" fillId="3" borderId="0" xfId="0" applyFont="1" applyFill="1" applyAlignment="1">
      <alignment horizontal="center" vertical="center"/>
    </xf>
    <xf numFmtId="170" fontId="113" fillId="3" borderId="0" xfId="0" applyFont="1" applyFill="1" applyAlignment="1">
      <alignment horizontal="center" vertical="center"/>
    </xf>
    <xf numFmtId="168" fontId="40" fillId="3" borderId="0" xfId="19" applyNumberFormat="1" applyFont="1" applyFill="1" applyBorder="1" applyAlignment="1" applyProtection="1">
      <alignment horizontal="right"/>
    </xf>
    <xf numFmtId="9" fontId="112" fillId="3" borderId="0" xfId="0" applyNumberFormat="1" applyFont="1" applyFill="1"/>
    <xf numFmtId="9" fontId="112" fillId="3" borderId="0" xfId="0" applyNumberFormat="1" applyFont="1" applyFill="1" applyAlignment="1">
      <alignment horizontal="left"/>
    </xf>
    <xf numFmtId="170" fontId="23" fillId="0" borderId="0" xfId="0" applyFont="1" applyAlignment="1">
      <alignment horizontal="center" vertical="center"/>
    </xf>
    <xf numFmtId="170" fontId="40" fillId="3" borderId="0" xfId="0" applyFont="1" applyFill="1" applyAlignment="1">
      <alignment horizontal="left" vertical="center"/>
    </xf>
    <xf numFmtId="170" fontId="114" fillId="3" borderId="0" xfId="0" applyFont="1" applyFill="1" applyAlignment="1">
      <alignment horizontal="left" vertical="center"/>
    </xf>
    <xf numFmtId="170" fontId="41" fillId="0" borderId="0" xfId="0" applyFont="1" applyAlignment="1">
      <alignment horizontal="right"/>
    </xf>
    <xf numFmtId="170" fontId="41" fillId="0" borderId="0" xfId="0" applyFont="1"/>
    <xf numFmtId="170" fontId="116" fillId="0" borderId="0" xfId="0" applyFont="1"/>
    <xf numFmtId="170" fontId="117" fillId="0" borderId="0" xfId="0" applyFont="1" applyAlignment="1">
      <alignment horizontal="center" vertical="center"/>
    </xf>
    <xf numFmtId="170" fontId="118" fillId="0" borderId="0" xfId="0" applyFont="1" applyAlignment="1">
      <alignment horizontal="center" vertical="center"/>
    </xf>
    <xf numFmtId="170" fontId="118" fillId="0" borderId="0" xfId="0" applyFont="1" applyAlignment="1">
      <alignment horizontal="right" vertical="center" indent="1"/>
    </xf>
    <xf numFmtId="170" fontId="119" fillId="0" borderId="0" xfId="0" applyFont="1" applyAlignment="1">
      <alignment horizontal="center"/>
    </xf>
    <xf numFmtId="170" fontId="51" fillId="0" borderId="69" xfId="0" applyFont="1" applyBorder="1" applyAlignment="1">
      <alignment horizontal="center" vertical="center"/>
    </xf>
    <xf numFmtId="170" fontId="23" fillId="0" borderId="21" xfId="0" applyFont="1" applyBorder="1" applyAlignment="1">
      <alignment vertical="center"/>
    </xf>
    <xf numFmtId="170" fontId="51" fillId="0" borderId="70" xfId="0" applyFont="1" applyBorder="1" applyAlignment="1">
      <alignment horizontal="center" vertical="center"/>
    </xf>
    <xf numFmtId="170" fontId="23" fillId="0" borderId="22" xfId="0" applyFont="1" applyBorder="1" applyAlignment="1">
      <alignment vertical="center"/>
    </xf>
    <xf numFmtId="170" fontId="51" fillId="0" borderId="71" xfId="0" applyFont="1" applyBorder="1" applyAlignment="1">
      <alignment horizontal="center" vertical="center"/>
    </xf>
    <xf numFmtId="170" fontId="23" fillId="0" borderId="26" xfId="0" applyFont="1" applyBorder="1" applyAlignment="1">
      <alignment vertical="center"/>
    </xf>
    <xf numFmtId="3" fontId="8" fillId="0" borderId="0" xfId="0" applyNumberFormat="1" applyFont="1"/>
    <xf numFmtId="0" fontId="107" fillId="0" borderId="0" xfId="0" applyNumberFormat="1" applyFont="1" applyAlignment="1">
      <alignment horizontal="left" vertical="center"/>
    </xf>
    <xf numFmtId="3" fontId="106" fillId="22" borderId="83" xfId="0" applyNumberFormat="1" applyFont="1" applyFill="1" applyBorder="1" applyAlignment="1">
      <alignment horizontal="centerContinuous"/>
    </xf>
    <xf numFmtId="4" fontId="105" fillId="0" borderId="102" xfId="0" applyNumberFormat="1" applyFont="1" applyBorder="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170" fontId="74" fillId="0" borderId="0" xfId="0" applyFont="1" applyAlignment="1">
      <alignment horizontal="center"/>
    </xf>
    <xf numFmtId="3" fontId="21" fillId="9" borderId="221" xfId="0" applyNumberFormat="1" applyFont="1" applyFill="1" applyBorder="1" applyProtection="1">
      <protection locked="0"/>
    </xf>
    <xf numFmtId="3" fontId="80" fillId="9" borderId="221" xfId="0" applyNumberFormat="1" applyFont="1" applyFill="1" applyBorder="1" applyProtection="1">
      <protection locked="0"/>
    </xf>
    <xf numFmtId="4" fontId="105" fillId="0" borderId="103" xfId="0" applyNumberFormat="1" applyFont="1" applyBorder="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Border="1" applyAlignment="1">
      <alignment horizontal="center" vertical="center"/>
    </xf>
    <xf numFmtId="3" fontId="45" fillId="0" borderId="20" xfId="0" applyNumberFormat="1" applyFont="1" applyBorder="1" applyAlignment="1">
      <alignment horizontal="center" vertical="center"/>
    </xf>
    <xf numFmtId="4" fontId="45" fillId="0" borderId="2" xfId="0" applyNumberFormat="1" applyFont="1" applyBorder="1" applyAlignment="1">
      <alignment horizontal="center" vertical="center"/>
    </xf>
    <xf numFmtId="175" fontId="45" fillId="10" borderId="2" xfId="0" applyNumberFormat="1" applyFont="1" applyFill="1" applyBorder="1" applyAlignment="1">
      <alignment horizontal="center" vertical="center"/>
    </xf>
    <xf numFmtId="3" fontId="45" fillId="10" borderId="20" xfId="0" applyNumberFormat="1" applyFont="1" applyFill="1" applyBorder="1" applyAlignment="1">
      <alignment horizontal="center" vertical="center"/>
    </xf>
    <xf numFmtId="175" fontId="45" fillId="0" borderId="78" xfId="0" applyNumberFormat="1" applyFont="1" applyBorder="1" applyAlignment="1">
      <alignment horizontal="center" vertical="center"/>
    </xf>
    <xf numFmtId="3" fontId="45" fillId="0" borderId="79" xfId="0" applyNumberFormat="1" applyFont="1" applyBorder="1" applyAlignment="1">
      <alignment horizontal="center" vertical="center"/>
    </xf>
    <xf numFmtId="2" fontId="0" fillId="0" borderId="0" xfId="0" applyNumberFormat="1"/>
    <xf numFmtId="14" fontId="47" fillId="0" borderId="2" xfId="0" applyNumberFormat="1" applyFont="1" applyBorder="1" applyAlignment="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29" fillId="0" borderId="2" xfId="20" applyNumberFormat="1" applyFont="1" applyFill="1" applyBorder="1" applyAlignment="1" applyProtection="1">
      <alignment horizontal="center"/>
    </xf>
    <xf numFmtId="170" fontId="0" fillId="0" borderId="76" xfId="0" applyBorder="1"/>
    <xf numFmtId="170" fontId="102"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1" fillId="18" borderId="28" xfId="0" applyFont="1" applyFill="1" applyBorder="1" applyAlignment="1" applyProtection="1">
      <alignment vertical="center" wrapText="1"/>
      <protection locked="0"/>
    </xf>
    <xf numFmtId="170" fontId="131" fillId="18" borderId="29" xfId="0" applyFont="1" applyFill="1" applyBorder="1" applyAlignment="1" applyProtection="1">
      <alignment vertical="center" wrapText="1"/>
      <protection locked="0"/>
    </xf>
    <xf numFmtId="170" fontId="91" fillId="0" borderId="27" xfId="0" applyFont="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1" fillId="18" borderId="28" xfId="0" applyFont="1" applyFill="1" applyBorder="1" applyAlignment="1" applyProtection="1">
      <alignment vertical="top" wrapText="1"/>
      <protection locked="0"/>
    </xf>
    <xf numFmtId="170" fontId="131" fillId="18" borderId="29" xfId="0" applyFont="1" applyFill="1" applyBorder="1" applyAlignment="1" applyProtection="1">
      <alignment vertical="top"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 fontId="133" fillId="0" borderId="0" xfId="0" applyNumberFormat="1" applyFont="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xf numFmtId="170" fontId="66" fillId="5" borderId="27" xfId="0" applyFont="1" applyFill="1" applyBorder="1" applyAlignment="1">
      <alignment vertical="center" wrapText="1"/>
    </xf>
    <xf numFmtId="170" fontId="130"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xf numFmtId="170" fontId="65" fillId="5" borderId="28" xfId="0" applyFont="1" applyFill="1" applyBorder="1"/>
    <xf numFmtId="170" fontId="65" fillId="5" borderId="29" xfId="0" applyFont="1" applyFill="1" applyBorder="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Alignment="1">
      <alignment wrapText="1"/>
    </xf>
    <xf numFmtId="170" fontId="59" fillId="6" borderId="27" xfId="0" applyFont="1" applyFill="1" applyBorder="1"/>
    <xf numFmtId="170" fontId="59" fillId="6" borderId="28" xfId="0" applyFont="1" applyFill="1" applyBorder="1"/>
    <xf numFmtId="170" fontId="59" fillId="6" borderId="29" xfId="0" applyFont="1" applyFill="1" applyBorder="1"/>
    <xf numFmtId="170" fontId="61" fillId="0" borderId="27" xfId="0" applyFont="1" applyBorder="1" applyAlignment="1">
      <alignment vertical="center" wrapText="1"/>
    </xf>
    <xf numFmtId="164" fontId="10" fillId="14" borderId="0" xfId="12" applyFont="1" applyFill="1" applyAlignment="1">
      <alignment vertical="center"/>
    </xf>
    <xf numFmtId="170" fontId="59" fillId="9" borderId="27" xfId="0" applyFont="1" applyFill="1" applyBorder="1"/>
    <xf numFmtId="170" fontId="59" fillId="9" borderId="28" xfId="0" applyFont="1" applyFill="1" applyBorder="1"/>
    <xf numFmtId="170" fontId="59" fillId="9" borderId="29" xfId="0" applyFont="1" applyFill="1" applyBorder="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xf numFmtId="170" fontId="136" fillId="0" borderId="0" xfId="0" applyFont="1" applyAlignment="1">
      <alignment horizontal="left" vertical="center"/>
    </xf>
    <xf numFmtId="170" fontId="26" fillId="25" borderId="0" xfId="0" applyFont="1" applyFill="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lignment horizontal="center"/>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Alignment="1">
      <alignment horizontal="right" vertical="center"/>
    </xf>
    <xf numFmtId="171" fontId="17" fillId="6" borderId="25" xfId="20" applyNumberFormat="1" applyFont="1" applyFill="1" applyBorder="1" applyAlignment="1" applyProtection="1">
      <alignment horizontal="center"/>
    </xf>
    <xf numFmtId="15" fontId="21" fillId="0" borderId="0" xfId="0" applyNumberFormat="1" applyFont="1" applyAlignment="1">
      <alignment horizontal="right"/>
    </xf>
    <xf numFmtId="164" fontId="7" fillId="0" borderId="0" xfId="0" applyNumberFormat="1" applyFont="1" applyAlignment="1">
      <alignment horizontal="center"/>
    </xf>
    <xf numFmtId="170" fontId="27" fillId="0" borderId="2" xfId="0" applyFont="1" applyBorder="1" applyAlignment="1">
      <alignment horizontal="center" vertical="center" wrapText="1"/>
    </xf>
    <xf numFmtId="9" fontId="0" fillId="0" borderId="0" xfId="19" applyFont="1" applyProtection="1"/>
    <xf numFmtId="170" fontId="23" fillId="3" borderId="27" xfId="0" applyFont="1" applyFill="1" applyBorder="1"/>
    <xf numFmtId="168" fontId="144" fillId="3" borderId="2" xfId="0" applyNumberFormat="1" applyFont="1" applyFill="1" applyBorder="1" applyAlignment="1">
      <alignment horizontal="center"/>
    </xf>
    <xf numFmtId="168" fontId="144" fillId="0" borderId="2" xfId="0" applyNumberFormat="1" applyFont="1" applyBorder="1" applyAlignment="1">
      <alignment horizontal="center"/>
    </xf>
    <xf numFmtId="168" fontId="145" fillId="23" borderId="68" xfId="0" applyNumberFormat="1" applyFont="1" applyFill="1" applyBorder="1" applyAlignment="1">
      <alignment horizontal="center"/>
    </xf>
    <xf numFmtId="168" fontId="23" fillId="23" borderId="68" xfId="0" applyNumberFormat="1" applyFont="1" applyFill="1" applyBorder="1" applyAlignment="1">
      <alignment horizontal="center"/>
    </xf>
    <xf numFmtId="170" fontId="23" fillId="3" borderId="43" xfId="0" applyFont="1" applyFill="1" applyBorder="1"/>
    <xf numFmtId="168" fontId="144" fillId="3" borderId="44" xfId="0" applyNumberFormat="1" applyFont="1" applyFill="1" applyBorder="1" applyAlignment="1">
      <alignment horizontal="center"/>
    </xf>
    <xf numFmtId="168" fontId="144" fillId="0" borderId="44" xfId="0" applyNumberFormat="1" applyFont="1" applyBorder="1" applyAlignment="1">
      <alignment horizontal="center"/>
    </xf>
    <xf numFmtId="14" fontId="0" fillId="0" borderId="2" xfId="0" applyNumberFormat="1" applyBorder="1" applyAlignment="1">
      <alignment horizontal="center"/>
    </xf>
    <xf numFmtId="49" fontId="0" fillId="0" borderId="2" xfId="0" applyNumberFormat="1" applyBorder="1" applyAlignment="1">
      <alignment horizontal="center"/>
    </xf>
    <xf numFmtId="49" fontId="105" fillId="24" borderId="2" xfId="0" applyNumberFormat="1" applyFont="1" applyFill="1" applyBorder="1" applyAlignment="1">
      <alignment horizontal="center"/>
    </xf>
    <xf numFmtId="49" fontId="56" fillId="0" borderId="2" xfId="0" applyNumberFormat="1" applyFont="1" applyBorder="1" applyAlignment="1">
      <alignment horizontal="center" wrapText="1"/>
    </xf>
    <xf numFmtId="166" fontId="8" fillId="3" borderId="0" xfId="0" applyNumberFormat="1" applyFont="1" applyFill="1"/>
    <xf numFmtId="170" fontId="8" fillId="3" borderId="0" xfId="0" applyFont="1" applyFill="1"/>
    <xf numFmtId="165" fontId="25" fillId="2" borderId="45" xfId="0" applyNumberFormat="1" applyFont="1" applyFill="1" applyBorder="1" applyAlignment="1">
      <alignment horizontal="center"/>
    </xf>
    <xf numFmtId="165" fontId="25" fillId="2" borderId="46" xfId="0" applyNumberFormat="1" applyFont="1" applyFill="1" applyBorder="1" applyAlignment="1">
      <alignment horizontal="center"/>
    </xf>
    <xf numFmtId="165" fontId="25" fillId="0" borderId="47" xfId="0" applyNumberFormat="1" applyFont="1" applyBorder="1" applyAlignment="1">
      <alignment horizontal="center"/>
    </xf>
    <xf numFmtId="3" fontId="14" fillId="18" borderId="45" xfId="0" applyNumberFormat="1" applyFont="1" applyFill="1" applyBorder="1"/>
    <xf numFmtId="165" fontId="25" fillId="0" borderId="0" xfId="0" applyNumberFormat="1" applyFont="1" applyAlignment="1">
      <alignment horizontal="center"/>
    </xf>
    <xf numFmtId="49" fontId="19" fillId="0" borderId="60" xfId="0" applyNumberFormat="1" applyFont="1" applyBorder="1" applyAlignment="1">
      <alignment horizontal="justify" wrapText="1"/>
    </xf>
    <xf numFmtId="49" fontId="19" fillId="0" borderId="60" xfId="0" applyNumberFormat="1" applyFont="1" applyBorder="1" applyAlignment="1">
      <alignment horizontal="justify"/>
    </xf>
    <xf numFmtId="170" fontId="19" fillId="0" borderId="60" xfId="0" applyFont="1" applyBorder="1" applyAlignment="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Alignment="1">
      <alignment horizontal="left"/>
    </xf>
    <xf numFmtId="164" fontId="32" fillId="0" borderId="0" xfId="23" applyFont="1" applyFill="1" applyBorder="1" applyAlignment="1" applyProtection="1">
      <alignment horizontal="center" vertical="center"/>
    </xf>
    <xf numFmtId="170" fontId="0" fillId="0" borderId="0" xfId="0" applyAlignment="1">
      <alignment horizontal="left" vertical="top"/>
    </xf>
    <xf numFmtId="15" fontId="0" fillId="0" borderId="0" xfId="0" applyNumberFormat="1" applyAlignment="1">
      <alignment horizontal="center"/>
    </xf>
    <xf numFmtId="3" fontId="105" fillId="3" borderId="17" xfId="0" applyNumberFormat="1" applyFont="1" applyFill="1" applyBorder="1" applyAlignment="1">
      <alignment horizontal="center"/>
    </xf>
    <xf numFmtId="165" fontId="25" fillId="2" borderId="48" xfId="0" applyNumberFormat="1" applyFont="1" applyFill="1" applyBorder="1" applyAlignment="1">
      <alignment horizontal="center"/>
    </xf>
    <xf numFmtId="165" fontId="25" fillId="2" borderId="49" xfId="0" applyNumberFormat="1" applyFont="1" applyFill="1" applyBorder="1" applyAlignment="1">
      <alignment horizontal="center"/>
    </xf>
    <xf numFmtId="170" fontId="0" fillId="0" borderId="23" xfId="0" applyBorder="1" applyAlignment="1">
      <alignment horizontal="center" wrapText="1"/>
    </xf>
    <xf numFmtId="49" fontId="0" fillId="6" borderId="2" xfId="0" applyNumberFormat="1" applyFill="1" applyBorder="1"/>
    <xf numFmtId="3" fontId="0" fillId="6" borderId="2" xfId="0" applyNumberFormat="1" applyFill="1" applyBorder="1"/>
    <xf numFmtId="170" fontId="0" fillId="6" borderId="2" xfId="0" applyFill="1" applyBorder="1" applyAlignment="1">
      <alignment horizontal="center"/>
    </xf>
    <xf numFmtId="49" fontId="0" fillId="6" borderId="44" xfId="0" applyNumberFormat="1" applyFill="1" applyBorder="1" applyAlignment="1">
      <alignment horizontal="left"/>
    </xf>
    <xf numFmtId="170" fontId="0" fillId="6" borderId="44" xfId="0" applyFill="1" applyBorder="1"/>
    <xf numFmtId="3" fontId="0" fillId="6" borderId="44" xfId="0" applyNumberFormat="1" applyFill="1" applyBorder="1"/>
    <xf numFmtId="170" fontId="0" fillId="6" borderId="44" xfId="0" applyFill="1" applyBorder="1" applyAlignment="1">
      <alignment horizontal="center"/>
    </xf>
    <xf numFmtId="170" fontId="0" fillId="5" borderId="63" xfId="0" applyFill="1" applyBorder="1"/>
    <xf numFmtId="165" fontId="7" fillId="2" borderId="55" xfId="0" applyNumberFormat="1" applyFont="1" applyFill="1" applyBorder="1" applyAlignment="1">
      <alignment horizontal="center"/>
    </xf>
    <xf numFmtId="165" fontId="7" fillId="2" borderId="56" xfId="0" applyNumberFormat="1" applyFont="1" applyFill="1" applyBorder="1" applyAlignment="1">
      <alignment horizontal="center"/>
    </xf>
    <xf numFmtId="2" fontId="132" fillId="0" borderId="222" xfId="0" applyNumberFormat="1" applyFont="1" applyBorder="1"/>
    <xf numFmtId="170" fontId="0" fillId="0" borderId="80" xfId="0" applyBorder="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4" fontId="14" fillId="9" borderId="2" xfId="1" applyNumberFormat="1" applyFont="1" applyFill="1" applyBorder="1" applyAlignment="1" applyProtection="1">
      <protection locked="0"/>
    </xf>
    <xf numFmtId="1" fontId="105" fillId="9" borderId="2" xfId="0" applyNumberFormat="1" applyFont="1" applyFill="1" applyBorder="1" applyAlignment="1" applyProtection="1">
      <alignment horizontal="center"/>
      <protection locked="0"/>
    </xf>
    <xf numFmtId="1" fontId="105" fillId="9" borderId="38" xfId="0" applyNumberFormat="1" applyFont="1" applyFill="1" applyBorder="1" applyAlignment="1" applyProtection="1">
      <alignment horizontal="center"/>
      <protection locked="0"/>
    </xf>
    <xf numFmtId="1" fontId="105" fillId="9" borderId="52" xfId="0" applyNumberFormat="1" applyFont="1" applyFill="1" applyBorder="1" applyAlignment="1" applyProtection="1">
      <alignment horizontal="center"/>
      <protection locked="0"/>
    </xf>
    <xf numFmtId="1" fontId="105"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5" fillId="6" borderId="31" xfId="0" applyNumberFormat="1" applyFont="1" applyFill="1" applyBorder="1" applyAlignment="1" applyProtection="1">
      <alignment horizontal="center"/>
      <protection locked="0"/>
    </xf>
    <xf numFmtId="3" fontId="105" fillId="6" borderId="17" xfId="0" applyNumberFormat="1" applyFont="1" applyFill="1" applyBorder="1" applyAlignment="1" applyProtection="1">
      <alignment horizontal="center"/>
      <protection locked="0"/>
    </xf>
    <xf numFmtId="1" fontId="105" fillId="6" borderId="2" xfId="0" applyNumberFormat="1" applyFont="1" applyFill="1" applyBorder="1" applyAlignment="1" applyProtection="1">
      <alignment horizontal="center"/>
      <protection locked="0"/>
    </xf>
    <xf numFmtId="1" fontId="105" fillId="6" borderId="31" xfId="0" applyNumberFormat="1" applyFont="1" applyFill="1" applyBorder="1" applyAlignment="1" applyProtection="1">
      <alignment horizontal="center"/>
      <protection locked="0"/>
    </xf>
    <xf numFmtId="3" fontId="105"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5" fillId="0" borderId="2" xfId="0" applyNumberFormat="1" applyFont="1" applyBorder="1" applyProtection="1">
      <protection locked="0"/>
    </xf>
    <xf numFmtId="3" fontId="105"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5" fillId="0" borderId="82" xfId="0" applyNumberFormat="1" applyFont="1" applyBorder="1" applyAlignment="1" applyProtection="1">
      <alignment horizontal="right" wrapText="1"/>
      <protection locked="0"/>
    </xf>
    <xf numFmtId="3" fontId="105" fillId="0" borderId="44" xfId="0" applyNumberFormat="1" applyFont="1" applyBorder="1" applyProtection="1">
      <protection locked="0"/>
    </xf>
    <xf numFmtId="3" fontId="105"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5"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99"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68" fontId="99"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99" fillId="5" borderId="2" xfId="19"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99"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75" fontId="45" fillId="12" borderId="2" xfId="0" applyNumberFormat="1" applyFont="1" applyFill="1" applyBorder="1" applyAlignment="1" applyProtection="1">
      <alignment horizontal="center" vertical="center"/>
      <protection locked="0"/>
    </xf>
    <xf numFmtId="168" fontId="2"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75"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99" fillId="7" borderId="2" xfId="0" applyNumberFormat="1" applyFont="1" applyFill="1" applyBorder="1" applyAlignment="1" applyProtection="1">
      <alignment horizontal="right"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 xfId="0" applyNumberFormat="1" applyFont="1" applyFill="1" applyBorder="1" applyAlignment="1" applyProtection="1">
      <alignment horizontal="right" vertical="center"/>
      <protection locked="0"/>
    </xf>
    <xf numFmtId="3" fontId="45"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right" vertical="center"/>
      <protection locked="0"/>
    </xf>
    <xf numFmtId="3" fontId="51"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xf numFmtId="164" fontId="9" fillId="0" borderId="0" xfId="13" applyFont="1" applyAlignment="1">
      <alignment vertical="center"/>
    </xf>
    <xf numFmtId="170" fontId="23" fillId="5" borderId="0" xfId="0" applyFont="1" applyFill="1" applyAlignment="1">
      <alignment horizontal="left"/>
    </xf>
    <xf numFmtId="170" fontId="105" fillId="0" borderId="0" xfId="0" applyFont="1" applyAlignment="1">
      <alignment horizontal="left"/>
    </xf>
    <xf numFmtId="22" fontId="0" fillId="0" borderId="0" xfId="0" applyNumberFormat="1"/>
    <xf numFmtId="2" fontId="103" fillId="0" borderId="0" xfId="20" applyNumberFormat="1" applyFill="1" applyBorder="1" applyAlignment="1" applyProtection="1">
      <alignment horizontal="center"/>
    </xf>
    <xf numFmtId="1" fontId="14" fillId="0" borderId="0" xfId="0" applyNumberFormat="1" applyFont="1" applyAlignment="1">
      <alignment horizontal="center"/>
    </xf>
    <xf numFmtId="1" fontId="54" fillId="3" borderId="0" xfId="0" applyNumberFormat="1" applyFont="1" applyFill="1" applyAlignment="1">
      <alignment horizontal="center"/>
    </xf>
    <xf numFmtId="170" fontId="121" fillId="0" borderId="0" xfId="0" applyFont="1"/>
    <xf numFmtId="170" fontId="55" fillId="0" borderId="0" xfId="0" applyFont="1"/>
    <xf numFmtId="170" fontId="21" fillId="0" borderId="0" xfId="0" applyFont="1" applyAlignment="1">
      <alignment vertical="center" wrapText="1"/>
    </xf>
    <xf numFmtId="170" fontId="0" fillId="3" borderId="0" xfId="0" applyFill="1" applyAlignment="1">
      <alignment horizontal="center"/>
    </xf>
    <xf numFmtId="170" fontId="122" fillId="0" borderId="0" xfId="0" applyFont="1"/>
    <xf numFmtId="170" fontId="124" fillId="5" borderId="0" xfId="0" applyFont="1" applyFill="1" applyAlignment="1">
      <alignment horizontal="left"/>
    </xf>
    <xf numFmtId="170" fontId="120" fillId="0" borderId="0" xfId="0" applyFont="1"/>
    <xf numFmtId="170" fontId="122" fillId="0" borderId="0" xfId="0" applyFont="1" applyAlignment="1">
      <alignment horizontal="left" wrapText="1"/>
    </xf>
    <xf numFmtId="170" fontId="27" fillId="0" borderId="0" xfId="0" applyFont="1" applyAlignment="1">
      <alignment horizontal="left"/>
    </xf>
    <xf numFmtId="170" fontId="134" fillId="0" borderId="0" xfId="0" applyFont="1" applyAlignment="1">
      <alignment horizontal="center" vertical="center"/>
    </xf>
    <xf numFmtId="171" fontId="21" fillId="0" borderId="0" xfId="0" applyNumberFormat="1" applyFont="1"/>
    <xf numFmtId="170" fontId="6" fillId="0" borderId="0" xfId="0" applyFont="1"/>
    <xf numFmtId="170" fontId="135" fillId="0" borderId="0" xfId="0" applyFont="1" applyAlignment="1">
      <alignment horizontal="center" vertical="center"/>
    </xf>
    <xf numFmtId="170" fontId="137" fillId="0" borderId="0" xfId="0" applyFont="1"/>
    <xf numFmtId="170" fontId="138" fillId="0" borderId="0" xfId="0" applyFont="1" applyAlignment="1">
      <alignment horizontal="center"/>
    </xf>
    <xf numFmtId="170" fontId="138" fillId="0" borderId="0" xfId="0" applyFont="1"/>
    <xf numFmtId="170" fontId="140" fillId="0" borderId="0" xfId="0" applyFont="1"/>
    <xf numFmtId="170" fontId="27" fillId="5" borderId="0" xfId="0" applyFont="1" applyFill="1" applyAlignment="1">
      <alignment horizontal="right" vertical="top" wrapText="1"/>
    </xf>
    <xf numFmtId="170" fontId="23" fillId="5" borderId="0" xfId="0" applyFont="1" applyFill="1" applyAlignment="1">
      <alignment horizontal="right" vertical="top" wrapText="1"/>
    </xf>
    <xf numFmtId="3" fontId="141" fillId="3" borderId="3" xfId="0" applyNumberFormat="1" applyFont="1" applyFill="1" applyBorder="1" applyAlignment="1">
      <alignment horizontal="right"/>
    </xf>
    <xf numFmtId="3" fontId="141" fillId="3" borderId="3" xfId="1" applyNumberFormat="1" applyFont="1" applyFill="1" applyBorder="1" applyProtection="1"/>
    <xf numFmtId="9" fontId="141" fillId="3" borderId="3" xfId="19" applyFont="1" applyFill="1" applyBorder="1" applyProtection="1"/>
    <xf numFmtId="170" fontId="141" fillId="0" borderId="0" xfId="0" applyFont="1"/>
    <xf numFmtId="170" fontId="142" fillId="0" borderId="0" xfId="0" applyFont="1"/>
    <xf numFmtId="2" fontId="134" fillId="0" borderId="0" xfId="0" applyNumberFormat="1" applyFont="1" applyAlignment="1">
      <alignment horizontal="center" vertical="center"/>
    </xf>
    <xf numFmtId="170" fontId="141" fillId="3" borderId="3" xfId="0" applyFont="1" applyFill="1" applyBorder="1"/>
    <xf numFmtId="9" fontId="141" fillId="3" borderId="3" xfId="19" applyFont="1" applyFill="1" applyBorder="1" applyAlignment="1" applyProtection="1">
      <alignment horizontal="center"/>
    </xf>
    <xf numFmtId="164" fontId="141" fillId="0" borderId="0" xfId="0" applyNumberFormat="1" applyFont="1"/>
    <xf numFmtId="170" fontId="14" fillId="3" borderId="3" xfId="0" applyFont="1" applyFill="1" applyBorder="1"/>
    <xf numFmtId="9" fontId="14" fillId="3" borderId="3" xfId="19" applyFont="1" applyFill="1" applyBorder="1" applyProtection="1"/>
    <xf numFmtId="170" fontId="139" fillId="0" borderId="0" xfId="0" applyFont="1"/>
    <xf numFmtId="170" fontId="146" fillId="0" borderId="2" xfId="0" applyFont="1" applyBorder="1" applyAlignment="1" applyProtection="1">
      <alignment vertical="center" wrapText="1"/>
      <protection locked="0"/>
    </xf>
    <xf numFmtId="170" fontId="147" fillId="0" borderId="2" xfId="0" applyFont="1" applyBorder="1" applyAlignment="1" applyProtection="1">
      <alignment vertical="center" wrapText="1"/>
      <protection locked="0"/>
    </xf>
    <xf numFmtId="170" fontId="147" fillId="18" borderId="2" xfId="0" applyFont="1" applyFill="1" applyBorder="1" applyAlignment="1" applyProtection="1">
      <alignment vertical="center" wrapText="1"/>
      <protection locked="0"/>
    </xf>
    <xf numFmtId="170" fontId="147" fillId="18" borderId="27" xfId="0" applyFont="1" applyFill="1" applyBorder="1" applyAlignment="1" applyProtection="1">
      <alignment vertical="center" wrapText="1"/>
      <protection locked="0"/>
    </xf>
    <xf numFmtId="170" fontId="147" fillId="18" borderId="27" xfId="0" applyFont="1" applyFill="1" applyBorder="1" applyAlignment="1" applyProtection="1">
      <alignment horizontal="left" vertical="center" wrapText="1"/>
      <protection locked="0"/>
    </xf>
    <xf numFmtId="170" fontId="147" fillId="0" borderId="2" xfId="0" applyFont="1" applyBorder="1" applyAlignment="1" applyProtection="1">
      <alignment horizontal="left" vertical="center" wrapText="1"/>
      <protection locked="0"/>
    </xf>
    <xf numFmtId="170" fontId="148" fillId="0" borderId="2" xfId="0" applyFont="1" applyBorder="1" applyAlignment="1" applyProtection="1">
      <alignment vertical="center" wrapText="1"/>
      <protection locked="0"/>
    </xf>
    <xf numFmtId="170" fontId="149" fillId="0" borderId="2" xfId="0" applyFont="1" applyBorder="1" applyAlignment="1" applyProtection="1">
      <alignment vertical="center" wrapText="1"/>
      <protection locked="0"/>
    </xf>
    <xf numFmtId="170" fontId="149" fillId="18" borderId="2" xfId="0" applyFont="1" applyFill="1" applyBorder="1" applyAlignment="1" applyProtection="1">
      <alignment vertical="center" wrapText="1"/>
      <protection locked="0"/>
    </xf>
    <xf numFmtId="170" fontId="149" fillId="18" borderId="27" xfId="0" applyFont="1" applyFill="1" applyBorder="1" applyAlignment="1" applyProtection="1">
      <alignment vertical="center" wrapText="1"/>
      <protection locked="0"/>
    </xf>
    <xf numFmtId="170" fontId="150" fillId="0" borderId="2" xfId="0" applyFont="1" applyBorder="1"/>
    <xf numFmtId="170" fontId="146" fillId="0" borderId="107" xfId="0" applyFont="1" applyBorder="1" applyAlignment="1" applyProtection="1">
      <alignment horizontal="justify" vertical="center" wrapText="1"/>
      <protection locked="0"/>
    </xf>
    <xf numFmtId="170" fontId="147" fillId="18" borderId="107" xfId="0" applyFont="1" applyFill="1" applyBorder="1" applyAlignment="1" applyProtection="1">
      <alignment horizontal="justify" vertical="center" wrapText="1"/>
      <protection locked="0"/>
    </xf>
    <xf numFmtId="170" fontId="147" fillId="18" borderId="109" xfId="0" applyFont="1" applyFill="1" applyBorder="1" applyAlignment="1" applyProtection="1">
      <alignment horizontal="justify" vertical="center" wrapText="1"/>
      <protection locked="0"/>
    </xf>
    <xf numFmtId="4" fontId="14" fillId="9" borderId="2" xfId="1" quotePrefix="1" applyNumberFormat="1" applyFont="1" applyFill="1" applyBorder="1" applyProtection="1">
      <protection locked="0"/>
    </xf>
    <xf numFmtId="4" fontId="14" fillId="9" borderId="104" xfId="1" applyNumberFormat="1" applyFont="1" applyFill="1" applyBorder="1" applyAlignment="1" applyProtection="1">
      <protection locked="0"/>
    </xf>
    <xf numFmtId="177" fontId="51" fillId="12" borderId="2" xfId="0" applyNumberFormat="1" applyFont="1" applyFill="1" applyBorder="1" applyAlignment="1" applyProtection="1">
      <alignment horizontal="center" vertical="center"/>
      <protection locked="0"/>
    </xf>
    <xf numFmtId="177" fontId="2" fillId="12" borderId="2" xfId="0" applyNumberFormat="1" applyFont="1" applyFill="1" applyBorder="1" applyAlignment="1" applyProtection="1">
      <alignment horizontal="center" vertical="center"/>
      <protection locked="0"/>
    </xf>
    <xf numFmtId="10" fontId="21" fillId="0" borderId="2" xfId="0" applyNumberFormat="1" applyFont="1" applyBorder="1" applyAlignment="1">
      <alignment horizontal="center" vertical="center" wrapText="1"/>
    </xf>
    <xf numFmtId="2" fontId="21" fillId="0" borderId="2" xfId="19" applyNumberFormat="1" applyFont="1" applyBorder="1" applyAlignment="1" applyProtection="1">
      <alignment horizontal="center" vertical="center" wrapText="1"/>
    </xf>
    <xf numFmtId="168" fontId="2" fillId="20" borderId="2" xfId="0" applyNumberFormat="1" applyFont="1" applyFill="1" applyBorder="1" applyAlignment="1" applyProtection="1">
      <alignment horizontal="center" vertical="center"/>
      <protection locked="0"/>
    </xf>
    <xf numFmtId="3" fontId="21" fillId="0" borderId="2" xfId="0" applyNumberFormat="1" applyFont="1" applyBorder="1" applyAlignment="1">
      <alignment horizontal="center" vertical="center" wrapText="1"/>
    </xf>
    <xf numFmtId="164" fontId="10" fillId="13" borderId="0" xfId="4" applyFont="1" applyFill="1" applyAlignment="1">
      <alignment horizontal="center" vertical="center"/>
    </xf>
    <xf numFmtId="164" fontId="26" fillId="0" borderId="0" xfId="0" applyNumberFormat="1" applyFont="1" applyAlignment="1">
      <alignment horizontal="center"/>
    </xf>
    <xf numFmtId="170" fontId="0" fillId="0" borderId="0" xfId="0"/>
    <xf numFmtId="170" fontId="97" fillId="0" borderId="0" xfId="0" applyFont="1" applyAlignment="1">
      <alignment horizontal="center"/>
    </xf>
    <xf numFmtId="170" fontId="98" fillId="0" borderId="0" xfId="0" applyFont="1" applyAlignment="1">
      <alignment horizontal="center"/>
    </xf>
    <xf numFmtId="170" fontId="26" fillId="25" borderId="126" xfId="0" applyFont="1" applyFill="1" applyBorder="1" applyAlignment="1">
      <alignment horizontal="center" vertical="center" textRotation="90"/>
    </xf>
    <xf numFmtId="0" fontId="45" fillId="28" borderId="225" xfId="0" applyNumberFormat="1" applyFont="1" applyFill="1" applyBorder="1" applyAlignment="1">
      <alignment horizontal="center" vertical="center" wrapText="1"/>
    </xf>
    <xf numFmtId="0" fontId="45" fillId="28" borderId="224" xfId="0" applyNumberFormat="1" applyFont="1" applyFill="1" applyBorder="1" applyAlignment="1">
      <alignment horizontal="center" vertical="center" wrapText="1"/>
    </xf>
    <xf numFmtId="0" fontId="45" fillId="28" borderId="87" xfId="0" applyNumberFormat="1" applyFont="1" applyFill="1" applyBorder="1" applyAlignment="1">
      <alignment horizontal="center" vertical="center" wrapText="1"/>
    </xf>
    <xf numFmtId="0" fontId="45" fillId="28" borderId="74" xfId="0" applyNumberFormat="1" applyFont="1" applyFill="1" applyBorder="1" applyAlignment="1">
      <alignment horizontal="center" vertical="center" wrapText="1"/>
    </xf>
    <xf numFmtId="170" fontId="45" fillId="26" borderId="2" xfId="0" applyFont="1" applyFill="1" applyBorder="1" applyAlignment="1">
      <alignment horizontal="left" vertical="center" wrapText="1"/>
    </xf>
    <xf numFmtId="170" fontId="45" fillId="26" borderId="225" xfId="0" applyFont="1" applyFill="1" applyBorder="1" applyAlignment="1">
      <alignment horizontal="center" vertical="center" wrapText="1"/>
    </xf>
    <xf numFmtId="170" fontId="45" fillId="26" borderId="224" xfId="0" applyFont="1" applyFill="1" applyBorder="1" applyAlignment="1">
      <alignment horizontal="center" vertical="center" wrapText="1"/>
    </xf>
    <xf numFmtId="170" fontId="45" fillId="26" borderId="87" xfId="0" applyFont="1" applyFill="1" applyBorder="1" applyAlignment="1">
      <alignment horizontal="center" vertical="center" wrapText="1"/>
    </xf>
    <xf numFmtId="170" fontId="45" fillId="26" borderId="74" xfId="0" applyFont="1" applyFill="1" applyBorder="1" applyAlignment="1">
      <alignment horizontal="center" vertical="center" wrapText="1"/>
    </xf>
    <xf numFmtId="0" fontId="45" fillId="27" borderId="2" xfId="0" applyNumberFormat="1" applyFont="1" applyFill="1" applyBorder="1" applyAlignment="1">
      <alignment vertical="center" wrapText="1"/>
    </xf>
    <xf numFmtId="9" fontId="26" fillId="0" borderId="112" xfId="19" applyFont="1" applyFill="1" applyBorder="1" applyAlignment="1" applyProtection="1">
      <alignment horizontal="center" vertical="center"/>
    </xf>
    <xf numFmtId="9" fontId="26" fillId="0" borderId="113" xfId="19" applyFont="1" applyFill="1" applyBorder="1" applyAlignment="1" applyProtection="1">
      <alignment horizontal="center" vertical="center"/>
    </xf>
    <xf numFmtId="9" fontId="26" fillId="0" borderId="114" xfId="19" applyFont="1" applyFill="1" applyBorder="1" applyAlignment="1" applyProtection="1">
      <alignment horizontal="center" vertical="center"/>
    </xf>
    <xf numFmtId="0" fontId="45" fillId="26" borderId="133" xfId="0" applyNumberFormat="1" applyFont="1" applyFill="1" applyBorder="1" applyAlignment="1">
      <alignment horizontal="center" vertical="center" wrapText="1"/>
    </xf>
    <xf numFmtId="0" fontId="45" fillId="26" borderId="77" xfId="0" applyNumberFormat="1" applyFont="1" applyFill="1" applyBorder="1" applyAlignment="1">
      <alignment horizontal="center" vertical="center" wrapText="1"/>
    </xf>
    <xf numFmtId="0" fontId="45" fillId="26" borderId="87" xfId="0" applyNumberFormat="1" applyFont="1" applyFill="1" applyBorder="1" applyAlignment="1">
      <alignment horizontal="center" vertical="center" wrapText="1"/>
    </xf>
    <xf numFmtId="0" fontId="45" fillId="26" borderId="74" xfId="0" applyNumberFormat="1" applyFont="1" applyFill="1" applyBorder="1" applyAlignment="1">
      <alignment horizontal="center" vertical="center" wrapText="1"/>
    </xf>
    <xf numFmtId="0" fontId="45" fillId="27" borderId="87" xfId="0" applyNumberFormat="1" applyFont="1" applyFill="1" applyBorder="1" applyAlignment="1">
      <alignment horizontal="center" vertical="center" wrapText="1"/>
    </xf>
    <xf numFmtId="0" fontId="45" fillId="27" borderId="74" xfId="0" applyNumberFormat="1" applyFont="1" applyFill="1" applyBorder="1" applyAlignment="1">
      <alignment horizontal="center" vertical="center" wrapText="1"/>
    </xf>
    <xf numFmtId="0" fontId="45" fillId="27" borderId="225" xfId="0" applyNumberFormat="1" applyFont="1" applyFill="1" applyBorder="1" applyAlignment="1">
      <alignment horizontal="center" vertical="center" wrapText="1"/>
    </xf>
    <xf numFmtId="0" fontId="45" fillId="27" borderId="224" xfId="0" applyNumberFormat="1" applyFont="1" applyFill="1" applyBorder="1" applyAlignment="1">
      <alignment horizontal="center" vertical="center" wrapText="1"/>
    </xf>
    <xf numFmtId="170" fontId="45" fillId="28" borderId="87" xfId="0" applyFont="1" applyFill="1" applyBorder="1" applyAlignment="1">
      <alignment horizontal="center" vertical="center" wrapText="1"/>
    </xf>
    <xf numFmtId="170" fontId="45" fillId="28" borderId="228" xfId="0" applyFont="1" applyFill="1" applyBorder="1" applyAlignment="1">
      <alignment horizontal="center" vertical="center" wrapText="1"/>
    </xf>
    <xf numFmtId="0" fontId="45" fillId="26" borderId="2" xfId="0" applyNumberFormat="1" applyFont="1" applyFill="1" applyBorder="1" applyAlignment="1">
      <alignment vertical="center" wrapText="1"/>
    </xf>
    <xf numFmtId="49" fontId="7" fillId="0" borderId="16" xfId="0" applyNumberFormat="1" applyFont="1" applyBorder="1" applyAlignment="1">
      <alignment horizontal="center"/>
    </xf>
    <xf numFmtId="49" fontId="7" fillId="0" borderId="31" xfId="0" applyNumberFormat="1" applyFont="1" applyBorder="1" applyAlignment="1">
      <alignment horizontal="center"/>
    </xf>
    <xf numFmtId="0" fontId="45" fillId="26" borderId="225" xfId="0" applyNumberFormat="1" applyFont="1" applyFill="1" applyBorder="1" applyAlignment="1">
      <alignment horizontal="center" vertical="center" wrapText="1"/>
    </xf>
    <xf numFmtId="0" fontId="45" fillId="26" borderId="224" xfId="0" applyNumberFormat="1" applyFont="1" applyFill="1" applyBorder="1" applyAlignment="1">
      <alignment horizontal="center" vertical="center" wrapText="1"/>
    </xf>
    <xf numFmtId="170" fontId="0" fillId="0" borderId="127" xfId="0" applyBorder="1" applyAlignment="1">
      <alignment horizontal="center"/>
    </xf>
    <xf numFmtId="170" fontId="0" fillId="0" borderId="13" xfId="0" applyBorder="1" applyAlignment="1">
      <alignment horizontal="center"/>
    </xf>
    <xf numFmtId="170" fontId="0" fillId="0" borderId="123" xfId="0" applyBorder="1" applyAlignment="1">
      <alignment horizontal="center" vertical="center"/>
    </xf>
    <xf numFmtId="170" fontId="0" fillId="0" borderId="124" xfId="0" applyBorder="1" applyAlignment="1">
      <alignment horizontal="center" vertical="center"/>
    </xf>
    <xf numFmtId="170" fontId="0" fillId="0" borderId="125" xfId="0" applyBorder="1" applyAlignment="1">
      <alignment horizontal="center" vertical="center"/>
    </xf>
    <xf numFmtId="170" fontId="85" fillId="0" borderId="86" xfId="0" applyFont="1" applyBorder="1" applyAlignment="1">
      <alignment horizontal="right"/>
    </xf>
    <xf numFmtId="170" fontId="85" fillId="0" borderId="126" xfId="0" applyFont="1" applyBorder="1" applyAlignment="1">
      <alignment horizontal="right"/>
    </xf>
    <xf numFmtId="49" fontId="45" fillId="0" borderId="132" xfId="0" applyNumberFormat="1" applyFont="1" applyBorder="1" applyAlignment="1">
      <alignment horizontal="justify" vertical="center" wrapText="1"/>
    </xf>
    <xf numFmtId="49" fontId="45" fillId="0" borderId="108" xfId="0" applyNumberFormat="1" applyFont="1" applyBorder="1" applyAlignment="1">
      <alignment horizontal="justify" vertical="center" wrapText="1"/>
    </xf>
    <xf numFmtId="49" fontId="45" fillId="0" borderId="133" xfId="0" applyNumberFormat="1" applyFont="1" applyBorder="1" applyAlignment="1">
      <alignment horizontal="justify" vertical="center" wrapText="1"/>
    </xf>
    <xf numFmtId="49" fontId="45" fillId="0" borderId="72" xfId="0" applyNumberFormat="1" applyFont="1" applyBorder="1" applyAlignment="1">
      <alignment horizontal="justify" vertical="center" wrapText="1"/>
    </xf>
    <xf numFmtId="49" fontId="45" fillId="0" borderId="73" xfId="0" applyNumberFormat="1" applyFont="1" applyBorder="1" applyAlignment="1">
      <alignment horizontal="justify" vertical="center" wrapText="1"/>
    </xf>
    <xf numFmtId="49" fontId="45" fillId="0" borderId="77" xfId="0" applyNumberFormat="1" applyFont="1" applyBorder="1" applyAlignment="1">
      <alignment horizontal="justify" vertical="center" wrapText="1"/>
    </xf>
    <xf numFmtId="0" fontId="45" fillId="10" borderId="119" xfId="0" applyNumberFormat="1" applyFont="1" applyFill="1" applyBorder="1" applyAlignment="1">
      <alignment horizontal="center" vertical="center" wrapText="1"/>
    </xf>
    <xf numFmtId="170" fontId="45" fillId="10" borderId="132" xfId="0" applyFont="1" applyFill="1" applyBorder="1" applyAlignment="1">
      <alignment horizontal="justify" vertical="center" wrapText="1"/>
    </xf>
    <xf numFmtId="170" fontId="45" fillId="10" borderId="108" xfId="0" applyFont="1" applyFill="1" applyBorder="1" applyAlignment="1">
      <alignment horizontal="justify" vertical="center" wrapText="1"/>
    </xf>
    <xf numFmtId="170" fontId="45" fillId="10" borderId="133" xfId="0" applyFont="1" applyFill="1" applyBorder="1" applyAlignment="1">
      <alignment horizontal="justify" vertical="center" wrapText="1"/>
    </xf>
    <xf numFmtId="170" fontId="45" fillId="10" borderId="72" xfId="0" applyFont="1" applyFill="1" applyBorder="1" applyAlignment="1">
      <alignment horizontal="justify" vertical="center" wrapText="1"/>
    </xf>
    <xf numFmtId="170" fontId="45" fillId="10" borderId="73" xfId="0" applyFont="1" applyFill="1" applyBorder="1" applyAlignment="1">
      <alignment horizontal="justify" vertical="center" wrapText="1"/>
    </xf>
    <xf numFmtId="170" fontId="45" fillId="10" borderId="77" xfId="0" applyFont="1" applyFill="1" applyBorder="1" applyAlignment="1">
      <alignment horizontal="justify" vertical="center" wrapText="1"/>
    </xf>
    <xf numFmtId="170" fontId="45" fillId="26" borderId="2" xfId="0" applyFont="1" applyFill="1" applyBorder="1" applyAlignment="1">
      <alignment vertical="center" wrapText="1"/>
    </xf>
    <xf numFmtId="0" fontId="45" fillId="27" borderId="2" xfId="0" applyNumberFormat="1" applyFont="1" applyFill="1" applyBorder="1" applyAlignment="1">
      <alignment horizontal="left" vertical="center" wrapText="1"/>
    </xf>
    <xf numFmtId="170" fontId="45" fillId="28" borderId="225" xfId="0" applyFont="1" applyFill="1" applyBorder="1" applyAlignment="1">
      <alignment horizontal="center" vertical="center" wrapText="1"/>
    </xf>
    <xf numFmtId="170" fontId="45" fillId="28" borderId="226" xfId="0" applyFont="1" applyFill="1" applyBorder="1" applyAlignment="1">
      <alignment horizontal="center" vertical="center" wrapText="1"/>
    </xf>
    <xf numFmtId="170" fontId="105" fillId="0" borderId="108" xfId="0" applyFont="1" applyBorder="1" applyAlignment="1">
      <alignment horizontal="justify" vertical="center" wrapText="1"/>
    </xf>
    <xf numFmtId="170" fontId="105" fillId="0" borderId="133" xfId="0" applyFont="1" applyBorder="1" applyAlignment="1">
      <alignment horizontal="justify" vertical="center" wrapText="1"/>
    </xf>
    <xf numFmtId="170" fontId="105" fillId="0" borderId="72" xfId="0" applyFont="1" applyBorder="1" applyAlignment="1">
      <alignment horizontal="justify" vertical="center" wrapText="1"/>
    </xf>
    <xf numFmtId="170" fontId="105" fillId="0" borderId="73" xfId="0" applyFont="1" applyBorder="1" applyAlignment="1">
      <alignment horizontal="justify" vertical="center" wrapText="1"/>
    </xf>
    <xf numFmtId="170" fontId="105" fillId="0" borderId="77" xfId="0" applyFont="1" applyBorder="1" applyAlignment="1">
      <alignment horizontal="justify" vertical="center" wrapText="1"/>
    </xf>
    <xf numFmtId="170" fontId="45" fillId="0" borderId="115" xfId="0" applyFont="1" applyBorder="1" applyAlignment="1">
      <alignment horizontal="center" vertical="center" wrapText="1"/>
    </xf>
    <xf numFmtId="170" fontId="45" fillId="0" borderId="219" xfId="0" applyFont="1" applyBorder="1" applyAlignment="1">
      <alignment horizontal="center" vertical="center" wrapText="1"/>
    </xf>
    <xf numFmtId="0" fontId="45" fillId="0" borderId="87" xfId="0" applyNumberFormat="1" applyFont="1" applyBorder="1" applyAlignment="1">
      <alignment horizontal="center" vertical="center" wrapText="1"/>
    </xf>
    <xf numFmtId="0" fontId="45" fillId="0" borderId="220" xfId="0" applyNumberFormat="1" applyFont="1" applyBorder="1" applyAlignment="1">
      <alignment horizontal="center" vertical="center" wrapText="1"/>
    </xf>
    <xf numFmtId="170" fontId="45" fillId="26" borderId="227" xfId="0" applyFont="1" applyFill="1" applyBorder="1" applyAlignment="1">
      <alignment horizontal="center" vertical="center" wrapText="1"/>
    </xf>
    <xf numFmtId="170" fontId="45" fillId="26" borderId="223" xfId="0" applyFont="1" applyFill="1" applyBorder="1" applyAlignment="1">
      <alignment horizontal="center" vertical="center" wrapText="1"/>
    </xf>
    <xf numFmtId="170" fontId="45" fillId="10" borderId="29" xfId="0" applyFont="1" applyFill="1" applyBorder="1" applyAlignment="1">
      <alignment horizontal="center" vertical="center" wrapText="1"/>
    </xf>
    <xf numFmtId="170" fontId="45" fillId="0" borderId="29" xfId="0" applyFont="1" applyBorder="1" applyAlignment="1">
      <alignment horizontal="center" vertical="center" wrapText="1"/>
    </xf>
    <xf numFmtId="0" fontId="45" fillId="0" borderId="119" xfId="0" applyNumberFormat="1" applyFont="1" applyBorder="1" applyAlignment="1">
      <alignment horizontal="center" vertical="center" wrapText="1"/>
    </xf>
    <xf numFmtId="170" fontId="56" fillId="0" borderId="128" xfId="0" applyFont="1" applyBorder="1" applyAlignment="1">
      <alignment horizontal="right"/>
    </xf>
    <xf numFmtId="170" fontId="92" fillId="0" borderId="128" xfId="0" applyFont="1" applyBorder="1"/>
    <xf numFmtId="170" fontId="85" fillId="0" borderId="0" xfId="0" applyFont="1" applyAlignment="1">
      <alignment horizontal="right"/>
    </xf>
    <xf numFmtId="164" fontId="7" fillId="0" borderId="129" xfId="0" applyNumberFormat="1" applyFont="1" applyBorder="1" applyAlignment="1">
      <alignment horizontal="center"/>
    </xf>
    <xf numFmtId="170" fontId="7" fillId="0" borderId="130" xfId="0" applyFont="1" applyBorder="1" applyAlignment="1">
      <alignment horizontal="center"/>
    </xf>
    <xf numFmtId="170" fontId="7" fillId="0" borderId="131" xfId="0" applyFont="1" applyBorder="1" applyAlignment="1">
      <alignment horizontal="center"/>
    </xf>
    <xf numFmtId="170" fontId="19" fillId="0" borderId="134" xfId="0" applyFont="1" applyBorder="1" applyAlignment="1">
      <alignment horizontal="center" wrapText="1"/>
    </xf>
    <xf numFmtId="170" fontId="19" fillId="0" borderId="135" xfId="0" applyFont="1" applyBorder="1" applyAlignment="1">
      <alignment horizontal="center" wrapText="1"/>
    </xf>
    <xf numFmtId="170" fontId="19" fillId="0" borderId="136" xfId="0" applyFont="1" applyBorder="1" applyAlignment="1">
      <alignment horizontal="center" wrapText="1"/>
    </xf>
    <xf numFmtId="170" fontId="0" fillId="5" borderId="27" xfId="0" applyFill="1" applyBorder="1" applyAlignment="1">
      <alignment horizontal="center"/>
    </xf>
    <xf numFmtId="170" fontId="0" fillId="5" borderId="29" xfId="0" applyFill="1" applyBorder="1" applyAlignment="1">
      <alignment horizontal="center"/>
    </xf>
    <xf numFmtId="49" fontId="0" fillId="0" borderId="2" xfId="0" applyNumberFormat="1" applyBorder="1" applyAlignment="1">
      <alignment horizontal="center"/>
    </xf>
    <xf numFmtId="164" fontId="42" fillId="14" borderId="0" xfId="4" applyFont="1" applyFill="1" applyAlignment="1">
      <alignment horizontal="center" vertical="center"/>
    </xf>
    <xf numFmtId="49" fontId="0" fillId="0" borderId="27" xfId="0" applyNumberFormat="1" applyBorder="1" applyAlignment="1">
      <alignment horizontal="center"/>
    </xf>
    <xf numFmtId="49" fontId="0" fillId="0" borderId="29" xfId="0" applyNumberFormat="1" applyBorder="1" applyAlignment="1">
      <alignment horizontal="center"/>
    </xf>
    <xf numFmtId="49" fontId="0" fillId="0" borderId="27" xfId="0" applyNumberFormat="1" applyBorder="1" applyAlignment="1">
      <alignment horizontal="justify" wrapText="1"/>
    </xf>
    <xf numFmtId="49" fontId="0" fillId="0" borderId="28" xfId="0" applyNumberFormat="1" applyBorder="1" applyAlignment="1">
      <alignment horizontal="justify" wrapText="1"/>
    </xf>
    <xf numFmtId="49" fontId="0" fillId="0" borderId="29" xfId="0" applyNumberFormat="1" applyBorder="1" applyAlignment="1">
      <alignment horizontal="justify" wrapText="1"/>
    </xf>
    <xf numFmtId="170" fontId="111" fillId="0" borderId="86" xfId="0" applyFont="1" applyBorder="1" applyAlignment="1">
      <alignment horizontal="right" wrapText="1"/>
    </xf>
    <xf numFmtId="170" fontId="111" fillId="0" borderId="126" xfId="0" applyFont="1" applyBorder="1" applyAlignment="1">
      <alignment horizontal="right" wrapText="1"/>
    </xf>
    <xf numFmtId="171" fontId="1" fillId="0" borderId="2" xfId="20" applyNumberFormat="1" applyFont="1" applyFill="1" applyBorder="1" applyAlignment="1" applyProtection="1">
      <alignment horizontal="center"/>
    </xf>
    <xf numFmtId="171" fontId="103" fillId="0" borderId="2" xfId="20" applyNumberFormat="1" applyFill="1" applyBorder="1" applyAlignment="1" applyProtection="1">
      <alignment horizontal="center"/>
    </xf>
    <xf numFmtId="172" fontId="105" fillId="0" borderId="27" xfId="0" applyNumberFormat="1" applyFont="1" applyBorder="1" applyAlignment="1">
      <alignment horizontal="center"/>
    </xf>
    <xf numFmtId="172" fontId="105" fillId="0" borderId="29" xfId="0" applyNumberFormat="1" applyFont="1" applyBorder="1" applyAlignment="1">
      <alignment horizontal="center"/>
    </xf>
    <xf numFmtId="49" fontId="108" fillId="0" borderId="2" xfId="0" applyNumberFormat="1" applyFont="1" applyBorder="1" applyAlignment="1">
      <alignment horizontal="center"/>
    </xf>
    <xf numFmtId="49" fontId="0" fillId="0" borderId="28" xfId="0" applyNumberFormat="1" applyBorder="1" applyAlignment="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lignment horizontal="center"/>
    </xf>
    <xf numFmtId="49" fontId="7" fillId="0" borderId="2" xfId="0" applyNumberFormat="1" applyFont="1" applyBorder="1" applyAlignment="1">
      <alignment horizontal="center"/>
    </xf>
    <xf numFmtId="170" fontId="51" fillId="0" borderId="120" xfId="0" applyFont="1" applyBorder="1" applyAlignment="1">
      <alignment horizontal="center" vertical="center"/>
    </xf>
    <xf numFmtId="170" fontId="51" fillId="0" borderId="121" xfId="0" applyFont="1" applyBorder="1" applyAlignment="1">
      <alignment horizontal="center" vertical="center"/>
    </xf>
    <xf numFmtId="170" fontId="51" fillId="0" borderId="122" xfId="0" applyFont="1" applyBorder="1" applyAlignment="1">
      <alignment horizontal="center" vertical="center"/>
    </xf>
    <xf numFmtId="164" fontId="17" fillId="6" borderId="25" xfId="20" applyFont="1" applyFill="1" applyBorder="1" applyAlignment="1" applyProtection="1">
      <alignment horizontal="center"/>
    </xf>
    <xf numFmtId="164" fontId="1" fillId="0" borderId="25" xfId="20" applyFont="1" applyFill="1" applyBorder="1" applyAlignment="1" applyProtection="1">
      <alignment horizontal="right"/>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xf numFmtId="164" fontId="109" fillId="14" borderId="0" xfId="4" applyFont="1" applyFill="1" applyAlignment="1">
      <alignment horizontal="center" vertical="center"/>
    </xf>
    <xf numFmtId="164" fontId="26" fillId="6" borderId="0" xfId="15" applyFont="1" applyFill="1" applyAlignment="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3" fillId="0" borderId="0" xfId="15" applyFont="1" applyAlignment="1">
      <alignment horizontal="right" vertical="center"/>
    </xf>
    <xf numFmtId="164" fontId="17" fillId="6" borderId="0" xfId="15" applyFont="1" applyFill="1" applyAlignment="1">
      <alignment horizontal="center" vertical="center" wrapText="1"/>
    </xf>
    <xf numFmtId="164" fontId="42" fillId="14" borderId="0" xfId="13" applyFont="1" applyFill="1" applyAlignment="1">
      <alignment horizontal="center" vertical="center"/>
    </xf>
    <xf numFmtId="164" fontId="8" fillId="13" borderId="0" xfId="20" applyFont="1" applyFill="1" applyBorder="1" applyAlignment="1" applyProtection="1">
      <alignment horizontal="center"/>
    </xf>
    <xf numFmtId="170" fontId="82"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64" fontId="28" fillId="0" borderId="0" xfId="0" applyNumberFormat="1" applyFont="1" applyAlignment="1">
      <alignment wrapText="1"/>
    </xf>
    <xf numFmtId="170" fontId="0" fillId="0" borderId="0" xfId="0" applyAlignment="1">
      <alignment wrapText="1"/>
    </xf>
    <xf numFmtId="170" fontId="23" fillId="5" borderId="27" xfId="0" applyFont="1" applyFill="1" applyBorder="1" applyAlignment="1" applyProtection="1">
      <alignment horizontal="justify" vertical="center" wrapText="1"/>
      <protection locked="0"/>
    </xf>
    <xf numFmtId="170" fontId="105" fillId="0" borderId="28" xfId="0" applyFont="1" applyBorder="1" applyAlignment="1" applyProtection="1">
      <alignment horizontal="justify" vertical="center" wrapText="1"/>
      <protection locked="0"/>
    </xf>
    <xf numFmtId="170" fontId="105" fillId="0" borderId="29" xfId="0" applyFont="1" applyBorder="1" applyAlignment="1" applyProtection="1">
      <alignment horizontal="justify" vertical="center" wrapText="1"/>
      <protection locked="0"/>
    </xf>
    <xf numFmtId="164" fontId="7" fillId="0" borderId="0" xfId="0" applyNumberFormat="1" applyFont="1" applyAlignment="1">
      <alignment horizontal="center" wrapText="1"/>
    </xf>
    <xf numFmtId="170" fontId="0" fillId="0" borderId="0" xfId="0" applyAlignment="1">
      <alignment horizontal="center"/>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7" fillId="0" borderId="0" xfId="0" applyFont="1" applyAlignment="1">
      <alignment horizontal="center"/>
    </xf>
    <xf numFmtId="170" fontId="57" fillId="0" borderId="0" xfId="0" applyFont="1" applyAlignment="1">
      <alignment horizontal="left" wrapText="1"/>
    </xf>
    <xf numFmtId="170" fontId="144" fillId="0" borderId="123" xfId="0" applyFont="1" applyBorder="1" applyAlignment="1">
      <alignment horizontal="center" vertical="center"/>
    </xf>
    <xf numFmtId="170" fontId="144" fillId="0" borderId="124" xfId="0" applyFont="1" applyBorder="1" applyAlignment="1">
      <alignment horizontal="center" vertical="center"/>
    </xf>
    <xf numFmtId="170" fontId="144" fillId="0" borderId="125" xfId="0" applyFont="1" applyBorder="1" applyAlignment="1">
      <alignment horizontal="center" vertical="center"/>
    </xf>
    <xf numFmtId="164" fontId="110" fillId="14" borderId="0" xfId="4" applyFont="1" applyFill="1" applyAlignment="1">
      <alignment horizontal="center" vertical="center"/>
    </xf>
    <xf numFmtId="170" fontId="0" fillId="0" borderId="137" xfId="0" applyBorder="1" applyAlignment="1">
      <alignment horizontal="center"/>
    </xf>
    <xf numFmtId="170" fontId="0" fillId="0" borderId="42" xfId="0" applyBorder="1" applyAlignment="1">
      <alignment horizontal="center"/>
    </xf>
    <xf numFmtId="170" fontId="88" fillId="0" borderId="138" xfId="0" applyFont="1" applyBorder="1" applyAlignment="1">
      <alignment horizontal="left" wrapText="1"/>
    </xf>
    <xf numFmtId="170" fontId="88" fillId="0" borderId="139" xfId="0" applyFont="1" applyBorder="1" applyAlignment="1">
      <alignment horizontal="left" wrapText="1"/>
    </xf>
    <xf numFmtId="164" fontId="30" fillId="0" borderId="0" xfId="0" applyNumberFormat="1" applyFont="1" applyAlignment="1">
      <alignment wrapText="1"/>
    </xf>
    <xf numFmtId="170" fontId="88" fillId="0" borderId="140" xfId="0" applyFont="1" applyBorder="1" applyAlignment="1">
      <alignment horizontal="left" wrapText="1"/>
    </xf>
    <xf numFmtId="170" fontId="88" fillId="0" borderId="68" xfId="0" applyFont="1" applyBorder="1" applyAlignment="1">
      <alignment horizontal="left" wrapText="1"/>
    </xf>
    <xf numFmtId="170" fontId="124" fillId="5" borderId="27" xfId="0" applyFont="1" applyFill="1" applyBorder="1" applyAlignment="1" applyProtection="1">
      <alignment horizontal="justify" vertical="center" wrapText="1"/>
      <protection locked="0"/>
    </xf>
    <xf numFmtId="170" fontId="124" fillId="5" borderId="28" xfId="0" applyFont="1" applyFill="1" applyBorder="1" applyAlignment="1" applyProtection="1">
      <alignment horizontal="justify" vertical="center" wrapText="1"/>
      <protection locked="0"/>
    </xf>
    <xf numFmtId="170" fontId="124" fillId="5" borderId="29" xfId="0" applyFont="1" applyFill="1" applyBorder="1" applyAlignment="1" applyProtection="1">
      <alignment horizontal="justify" vertical="center" wrapText="1"/>
      <protection locked="0"/>
    </xf>
    <xf numFmtId="164" fontId="81" fillId="0" borderId="116" xfId="0" applyNumberFormat="1" applyFont="1" applyBorder="1" applyAlignment="1">
      <alignment horizontal="center" vertical="center" wrapText="1"/>
    </xf>
    <xf numFmtId="164" fontId="81" fillId="0" borderId="117" xfId="0" applyNumberFormat="1" applyFont="1" applyBorder="1" applyAlignment="1">
      <alignment horizontal="center" vertical="center" wrapText="1"/>
    </xf>
    <xf numFmtId="164" fontId="81" fillId="0" borderId="118" xfId="0" applyNumberFormat="1" applyFont="1" applyBorder="1" applyAlignment="1">
      <alignment horizontal="center" vertical="center" wrapText="1"/>
    </xf>
    <xf numFmtId="170" fontId="122" fillId="0" borderId="28" xfId="0" applyFont="1" applyBorder="1" applyAlignment="1" applyProtection="1">
      <alignment horizontal="justify" vertical="center" wrapText="1"/>
      <protection locked="0"/>
    </xf>
    <xf numFmtId="170" fontId="122" fillId="0" borderId="29" xfId="0" applyFont="1" applyBorder="1" applyAlignment="1" applyProtection="1">
      <alignment horizontal="justify" vertical="center" wrapText="1"/>
      <protection locked="0"/>
    </xf>
    <xf numFmtId="170" fontId="128" fillId="5" borderId="27" xfId="0" applyFont="1" applyFill="1" applyBorder="1" applyAlignment="1" applyProtection="1">
      <alignment horizontal="justify" vertical="center" wrapText="1"/>
      <protection locked="0"/>
    </xf>
    <xf numFmtId="170" fontId="125" fillId="0" borderId="28" xfId="0" applyFont="1" applyBorder="1" applyAlignment="1" applyProtection="1">
      <alignment horizontal="justify" vertical="center" wrapText="1"/>
      <protection locked="0"/>
    </xf>
    <xf numFmtId="170" fontId="125" fillId="0" borderId="29" xfId="0" applyFont="1" applyBorder="1" applyAlignment="1" applyProtection="1">
      <alignment horizontal="justify" vertical="center" wrapText="1"/>
      <protection locked="0"/>
    </xf>
    <xf numFmtId="170" fontId="80" fillId="0" borderId="2" xfId="0" applyFont="1" applyBorder="1" applyAlignment="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9" fontId="80" fillId="5" borderId="2" xfId="19" applyFont="1" applyFill="1" applyBorder="1" applyAlignment="1" applyProtection="1">
      <alignment horizontal="justify" vertical="center" wrapText="1"/>
      <protection locked="0"/>
    </xf>
    <xf numFmtId="9" fontId="126" fillId="5" borderId="2" xfId="19" applyFont="1" applyFill="1" applyBorder="1" applyAlignment="1" applyProtection="1">
      <alignment horizontal="justify" vertical="center" wrapText="1"/>
      <protection locked="0"/>
    </xf>
    <xf numFmtId="170" fontId="80" fillId="5" borderId="27" xfId="19" applyNumberFormat="1" applyFont="1" applyFill="1" applyBorder="1" applyAlignment="1" applyProtection="1">
      <alignment horizontal="justify" vertical="center" wrapText="1"/>
      <protection locked="0"/>
    </xf>
    <xf numFmtId="170" fontId="126" fillId="5" borderId="28" xfId="19" applyNumberFormat="1" applyFont="1" applyFill="1" applyBorder="1" applyAlignment="1" applyProtection="1">
      <alignment horizontal="justify" vertical="center" wrapText="1"/>
      <protection locked="0"/>
    </xf>
    <xf numFmtId="170" fontId="126" fillId="5" borderId="29" xfId="19" applyNumberFormat="1" applyFont="1" applyFill="1" applyBorder="1" applyAlignment="1" applyProtection="1">
      <alignment horizontal="justify" vertical="center" wrapText="1"/>
      <protection locked="0"/>
    </xf>
    <xf numFmtId="170" fontId="27" fillId="0" borderId="27" xfId="0" applyFont="1" applyBorder="1" applyAlignment="1">
      <alignment horizontal="center" vertical="center"/>
    </xf>
    <xf numFmtId="170" fontId="27" fillId="0" borderId="28" xfId="0" applyFont="1" applyBorder="1" applyAlignment="1">
      <alignment horizontal="center" vertical="center"/>
    </xf>
    <xf numFmtId="170" fontId="27" fillId="0" borderId="29" xfId="0" applyFont="1" applyBorder="1" applyAlignment="1">
      <alignment horizontal="center" vertical="center"/>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170" fontId="123" fillId="5" borderId="27" xfId="0" applyFont="1" applyFill="1" applyBorder="1" applyAlignment="1" applyProtection="1">
      <alignment horizontal="justify" vertical="top" wrapText="1"/>
      <protection locked="0"/>
    </xf>
    <xf numFmtId="170" fontId="123" fillId="5" borderId="28" xfId="0" applyFont="1" applyFill="1" applyBorder="1" applyAlignment="1" applyProtection="1">
      <alignment horizontal="justify" vertical="top" wrapText="1"/>
      <protection locked="0"/>
    </xf>
    <xf numFmtId="170" fontId="123" fillId="5" borderId="29" xfId="0" applyFont="1" applyFill="1" applyBorder="1" applyAlignment="1" applyProtection="1">
      <alignment horizontal="justify" vertical="top" wrapText="1"/>
      <protection locked="0"/>
    </xf>
    <xf numFmtId="164" fontId="21" fillId="0" borderId="0" xfId="0" applyNumberFormat="1" applyFont="1" applyAlignment="1">
      <alignment horizontal="right" wrapText="1"/>
    </xf>
    <xf numFmtId="174" fontId="83" fillId="0" borderId="28" xfId="0" applyNumberFormat="1" applyFont="1" applyBorder="1" applyAlignment="1">
      <alignment horizontal="justify" vertical="center" wrapText="1"/>
    </xf>
    <xf numFmtId="170" fontId="83" fillId="0" borderId="28" xfId="0" applyFont="1" applyBorder="1" applyAlignment="1">
      <alignment horizontal="justify" vertical="center" wrapText="1"/>
    </xf>
    <xf numFmtId="170" fontId="127" fillId="0" borderId="28" xfId="0" applyFont="1" applyBorder="1" applyAlignment="1" applyProtection="1">
      <alignment horizontal="justify" vertical="top" wrapText="1"/>
      <protection locked="0"/>
    </xf>
    <xf numFmtId="170" fontId="127" fillId="0" borderId="29" xfId="0" applyFont="1" applyBorder="1" applyAlignment="1" applyProtection="1">
      <alignment horizontal="justify" vertical="top" wrapText="1"/>
      <protection locked="0"/>
    </xf>
    <xf numFmtId="170" fontId="26" fillId="0" borderId="73" xfId="0" applyFont="1" applyBorder="1" applyAlignment="1">
      <alignment horizontal="center"/>
    </xf>
    <xf numFmtId="170" fontId="27" fillId="0" borderId="2" xfId="0" applyFont="1" applyBorder="1" applyAlignment="1">
      <alignment horizontal="center" vertical="center" wrapText="1"/>
    </xf>
    <xf numFmtId="170" fontId="23" fillId="5" borderId="27" xfId="19" applyNumberFormat="1" applyFont="1" applyFill="1" applyBorder="1" applyAlignment="1" applyProtection="1">
      <alignment horizontal="justify" vertical="center" wrapText="1"/>
      <protection locked="0"/>
    </xf>
    <xf numFmtId="170" fontId="143" fillId="5" borderId="28" xfId="19" applyNumberFormat="1" applyFont="1" applyFill="1" applyBorder="1" applyAlignment="1" applyProtection="1">
      <alignment horizontal="justify" vertical="center" wrapText="1"/>
      <protection locked="0"/>
    </xf>
    <xf numFmtId="170" fontId="143" fillId="5" borderId="29" xfId="19" applyNumberFormat="1" applyFont="1" applyFill="1" applyBorder="1" applyAlignment="1" applyProtection="1">
      <alignment horizontal="justify" vertical="center" wrapText="1"/>
      <protection locked="0"/>
    </xf>
    <xf numFmtId="164" fontId="82" fillId="0" borderId="0" xfId="0" applyNumberFormat="1" applyFont="1" applyAlignment="1">
      <alignment horizontal="center"/>
    </xf>
    <xf numFmtId="164" fontId="8" fillId="13" borderId="0" xfId="21" applyFont="1" applyFill="1" applyBorder="1" applyAlignment="1" applyProtection="1">
      <alignment horizontal="center"/>
    </xf>
    <xf numFmtId="170" fontId="115" fillId="0" borderId="159" xfId="0" applyFont="1" applyBorder="1" applyAlignment="1">
      <alignment horizontal="center"/>
    </xf>
    <xf numFmtId="170" fontId="115" fillId="0" borderId="160" xfId="0" applyFont="1" applyBorder="1" applyAlignment="1">
      <alignment horizontal="center"/>
    </xf>
    <xf numFmtId="170" fontId="52" fillId="0" borderId="0" xfId="0" applyFont="1" applyAlignment="1">
      <alignment horizontal="center"/>
    </xf>
    <xf numFmtId="170" fontId="52" fillId="0" borderId="159" xfId="0" applyFont="1" applyBorder="1" applyAlignment="1">
      <alignment horizontal="center"/>
    </xf>
    <xf numFmtId="170" fontId="41" fillId="9" borderId="147" xfId="0" applyFont="1" applyFill="1" applyBorder="1" applyAlignment="1">
      <alignment horizontal="center" vertical="center"/>
    </xf>
    <xf numFmtId="170" fontId="41" fillId="9" borderId="148" xfId="0" applyFont="1" applyFill="1" applyBorder="1" applyAlignment="1">
      <alignment horizontal="center" vertical="center"/>
    </xf>
    <xf numFmtId="170" fontId="41" fillId="9" borderId="149" xfId="0" applyFont="1" applyFill="1" applyBorder="1" applyAlignment="1">
      <alignment horizontal="center" vertic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28" xfId="0" applyFont="1" applyBorder="1" applyAlignment="1">
      <alignment horizontal="justify" vertical="center" wrapText="1"/>
    </xf>
    <xf numFmtId="170" fontId="2" fillId="0" borderId="162" xfId="0" applyFont="1" applyBorder="1" applyAlignment="1">
      <alignment horizontal="justify" vertical="center" wrapText="1"/>
    </xf>
    <xf numFmtId="170" fontId="94" fillId="6" borderId="167" xfId="0" applyFont="1" applyFill="1" applyBorder="1" applyAlignment="1">
      <alignment horizontal="center" vertical="center"/>
    </xf>
    <xf numFmtId="170" fontId="94" fillId="6" borderId="168" xfId="0" applyFont="1" applyFill="1" applyBorder="1" applyAlignment="1">
      <alignment horizontal="center" vertical="center"/>
    </xf>
    <xf numFmtId="170" fontId="105" fillId="0" borderId="168" xfId="0" applyFont="1" applyBorder="1" applyAlignment="1">
      <alignment horizontal="center" vertical="center"/>
    </xf>
    <xf numFmtId="170" fontId="2" fillId="0" borderId="141" xfId="0" applyFont="1" applyBorder="1" applyAlignment="1">
      <alignment horizontal="justify" vertical="center" wrapText="1"/>
    </xf>
    <xf numFmtId="170" fontId="2" fillId="0" borderId="142" xfId="0" applyFont="1" applyBorder="1" applyAlignment="1">
      <alignment horizontal="justify" vertical="center" wrapText="1"/>
    </xf>
    <xf numFmtId="170" fontId="2" fillId="0" borderId="6" xfId="0" applyFont="1" applyBorder="1" applyAlignment="1">
      <alignment horizontal="justify" vertical="center" wrapText="1"/>
    </xf>
    <xf numFmtId="170" fontId="2" fillId="0" borderId="173" xfId="0" applyFont="1" applyBorder="1" applyAlignment="1">
      <alignment horizontal="justify" vertical="center" wrapText="1"/>
    </xf>
    <xf numFmtId="170" fontId="94" fillId="6" borderId="169" xfId="0" applyFont="1" applyFill="1" applyBorder="1" applyAlignment="1">
      <alignment horizontal="center" vertical="center"/>
    </xf>
    <xf numFmtId="170" fontId="94" fillId="6" borderId="170" xfId="0" applyFont="1" applyFill="1" applyBorder="1" applyAlignment="1">
      <alignment horizontal="center" vertical="center"/>
    </xf>
    <xf numFmtId="170" fontId="94" fillId="6" borderId="171" xfId="0" applyFont="1" applyFill="1" applyBorder="1" applyAlignment="1">
      <alignment horizontal="center" vertical="center"/>
    </xf>
    <xf numFmtId="170" fontId="115" fillId="0" borderId="0" xfId="0" applyFont="1" applyAlignment="1">
      <alignment horizontal="center"/>
    </xf>
    <xf numFmtId="170" fontId="2" fillId="0" borderId="145" xfId="0" applyFont="1" applyBorder="1" applyAlignment="1">
      <alignment horizontal="justify" vertical="center" wrapText="1"/>
    </xf>
    <xf numFmtId="170" fontId="2" fillId="0" borderId="146" xfId="0" applyFont="1" applyBorder="1" applyAlignment="1">
      <alignment horizontal="justify" vertical="center" wrapText="1"/>
    </xf>
    <xf numFmtId="170" fontId="53" fillId="2" borderId="4" xfId="0" applyFont="1" applyFill="1" applyBorder="1" applyAlignment="1">
      <alignment horizontal="center" vertic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2" fillId="0" borderId="174" xfId="0" applyFont="1" applyBorder="1" applyAlignment="1">
      <alignment horizontal="justify" vertical="center" wrapText="1"/>
    </xf>
    <xf numFmtId="170" fontId="2" fillId="0" borderId="175" xfId="0" applyFont="1" applyBorder="1" applyAlignment="1">
      <alignment horizontal="justify" vertical="center" wrapText="1"/>
    </xf>
    <xf numFmtId="170" fontId="2" fillId="0" borderId="166" xfId="0" applyFont="1" applyBorder="1" applyAlignment="1">
      <alignment horizontal="justify" vertical="center" wrapText="1"/>
    </xf>
    <xf numFmtId="170" fontId="41" fillId="5" borderId="178" xfId="0" applyFont="1" applyFill="1" applyBorder="1" applyAlignment="1">
      <alignment horizontal="center" vertical="center"/>
    </xf>
    <xf numFmtId="170" fontId="41" fillId="5" borderId="179" xfId="0" applyFont="1" applyFill="1" applyBorder="1" applyAlignment="1">
      <alignment horizontal="center" vertical="center"/>
    </xf>
    <xf numFmtId="170" fontId="41" fillId="5" borderId="180" xfId="0" applyFont="1" applyFill="1" applyBorder="1" applyAlignment="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9" fontId="2" fillId="0" borderId="176" xfId="19"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5" fillId="0" borderId="80" xfId="0" applyFont="1" applyBorder="1" applyAlignment="1">
      <alignment horizontal="justify" vertical="top" wrapText="1"/>
    </xf>
    <xf numFmtId="170" fontId="105"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5" fillId="0" borderId="217" xfId="0" applyFont="1" applyBorder="1" applyAlignment="1">
      <alignment horizontal="justify" vertical="top" wrapText="1"/>
    </xf>
    <xf numFmtId="170" fontId="105" fillId="0" borderId="218" xfId="0" applyFont="1" applyBorder="1" applyAlignment="1">
      <alignment horizontal="justify" vertical="top" wrapText="1"/>
    </xf>
    <xf numFmtId="170" fontId="2" fillId="0" borderId="181" xfId="0" applyFont="1" applyBorder="1" applyAlignment="1">
      <alignment horizontal="justify" vertical="center" wrapText="1"/>
    </xf>
    <xf numFmtId="170" fontId="2" fillId="0" borderId="182" xfId="0" applyFont="1" applyBorder="1" applyAlignment="1">
      <alignment horizontal="justify" vertical="center" wrapText="1"/>
    </xf>
    <xf numFmtId="170" fontId="2" fillId="0" borderId="183" xfId="0" applyFont="1" applyBorder="1" applyAlignment="1">
      <alignment horizontal="justify" vertical="center" wrapText="1"/>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04" xfId="0" applyFont="1" applyBorder="1" applyAlignment="1" applyProtection="1">
      <alignment horizontal="left"/>
      <protection locked="0"/>
    </xf>
    <xf numFmtId="170" fontId="14" fillId="0" borderId="161" xfId="0" applyFont="1" applyBorder="1" applyAlignment="1" applyProtection="1">
      <alignment horizontal="left"/>
      <protection locked="0"/>
    </xf>
    <xf numFmtId="170" fontId="14" fillId="0" borderId="193" xfId="0" applyFont="1" applyBorder="1" applyAlignment="1" applyProtection="1">
      <alignment horizontal="left"/>
      <protection locked="0"/>
    </xf>
    <xf numFmtId="170" fontId="14" fillId="0" borderId="205" xfId="0" applyFont="1" applyBorder="1" applyAlignment="1" applyProtection="1">
      <alignment horizontal="left"/>
      <protection locked="0"/>
    </xf>
    <xf numFmtId="170" fontId="14" fillId="0" borderId="194" xfId="0" applyFont="1" applyBorder="1" applyAlignment="1" applyProtection="1">
      <alignment horizontal="left"/>
      <protection locked="0"/>
    </xf>
    <xf numFmtId="170" fontId="14" fillId="0" borderId="195" xfId="0" applyFont="1" applyBorder="1" applyAlignment="1" applyProtection="1">
      <alignment horizontal="left"/>
      <protection locked="0"/>
    </xf>
    <xf numFmtId="170" fontId="14" fillId="0" borderId="190" xfId="0" applyFont="1" applyBorder="1" applyAlignment="1" applyProtection="1">
      <alignment horizontal="left"/>
      <protection locked="0"/>
    </xf>
    <xf numFmtId="170" fontId="14" fillId="0" borderId="184" xfId="0" applyFont="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2" xfId="0" applyFont="1" applyBorder="1" applyAlignment="1" applyProtection="1">
      <alignment horizontal="left"/>
      <protection locked="0"/>
    </xf>
    <xf numFmtId="170" fontId="14" fillId="0" borderId="196" xfId="0" applyFont="1" applyBorder="1" applyAlignment="1" applyProtection="1">
      <alignment horizontal="left" vertical="top" wrapText="1"/>
      <protection locked="0"/>
    </xf>
    <xf numFmtId="170" fontId="14" fillId="0" borderId="197" xfId="0" applyFont="1" applyBorder="1" applyAlignment="1" applyProtection="1">
      <alignment horizontal="left" vertical="top" wrapText="1"/>
      <protection locked="0"/>
    </xf>
    <xf numFmtId="170" fontId="14" fillId="0" borderId="198" xfId="0" applyFont="1" applyBorder="1" applyAlignment="1" applyProtection="1">
      <alignment horizontal="left" vertical="top" wrapText="1"/>
      <protection locked="0"/>
    </xf>
    <xf numFmtId="170" fontId="14" fillId="0" borderId="199" xfId="0" applyFont="1" applyBorder="1" applyAlignment="1" applyProtection="1">
      <alignment horizontal="left" vertical="top" wrapText="1"/>
      <protection locked="0"/>
    </xf>
    <xf numFmtId="170" fontId="14" fillId="0" borderId="164" xfId="0" applyFont="1" applyBorder="1" applyAlignment="1" applyProtection="1">
      <alignment horizontal="left" vertical="top" wrapText="1"/>
      <protection locked="0"/>
    </xf>
    <xf numFmtId="170" fontId="14" fillId="0" borderId="200" xfId="0" applyFont="1" applyBorder="1" applyAlignment="1" applyProtection="1">
      <alignment horizontal="left" vertical="top" wrapText="1"/>
      <protection locked="0"/>
    </xf>
    <xf numFmtId="170" fontId="14" fillId="0" borderId="22" xfId="0" applyFont="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6" xfId="0" applyFont="1" applyBorder="1" applyAlignment="1" applyProtection="1">
      <alignment horizontal="left" vertical="top" wrapText="1"/>
      <protection locked="0"/>
    </xf>
    <xf numFmtId="170" fontId="14" fillId="0" borderId="207" xfId="0" applyFont="1" applyBorder="1" applyAlignment="1" applyProtection="1">
      <alignment horizontal="left" vertical="top" wrapText="1"/>
      <protection locked="0"/>
    </xf>
    <xf numFmtId="170" fontId="14" fillId="0" borderId="208" xfId="0" applyFont="1" applyBorder="1" applyAlignment="1" applyProtection="1">
      <alignment horizontal="left" vertical="top" wrapText="1"/>
      <protection locked="0"/>
    </xf>
    <xf numFmtId="170" fontId="14" fillId="0" borderId="209" xfId="0" applyFont="1" applyBorder="1" applyAlignment="1" applyProtection="1">
      <alignment horizontal="left" vertical="top" wrapText="1"/>
      <protection locked="0"/>
    </xf>
    <xf numFmtId="170" fontId="14" fillId="0" borderId="202" xfId="0" applyFont="1" applyBorder="1" applyAlignment="1" applyProtection="1">
      <alignment horizontal="left"/>
      <protection locked="0"/>
    </xf>
    <xf numFmtId="170" fontId="51" fillId="4" borderId="5" xfId="18" applyFont="1" applyFill="1" applyBorder="1" applyAlignment="1">
      <alignment horizontal="center" vertical="center" wrapText="1"/>
    </xf>
    <xf numFmtId="170" fontId="51" fillId="4" borderId="213" xfId="18" applyFont="1" applyFill="1" applyBorder="1" applyAlignment="1">
      <alignment horizontal="center" vertical="center" wrapText="1"/>
    </xf>
    <xf numFmtId="170" fontId="14" fillId="0" borderId="186" xfId="0" applyFont="1" applyBorder="1" applyAlignment="1" applyProtection="1">
      <alignment horizontal="left"/>
      <protection locked="0"/>
    </xf>
    <xf numFmtId="170" fontId="14" fillId="0" borderId="210" xfId="0" applyFont="1" applyBorder="1" applyAlignment="1" applyProtection="1">
      <alignment horizontal="justify" vertical="center" wrapText="1"/>
      <protection locked="0"/>
    </xf>
    <xf numFmtId="170" fontId="14" fillId="0" borderId="207" xfId="0" applyFont="1" applyBorder="1" applyAlignment="1" applyProtection="1">
      <alignment horizontal="justify" vertical="center" wrapText="1"/>
      <protection locked="0"/>
    </xf>
    <xf numFmtId="170" fontId="14" fillId="0" borderId="211" xfId="0" applyFont="1" applyBorder="1" applyAlignment="1" applyProtection="1">
      <alignment horizontal="justify" vertical="center" wrapText="1"/>
      <protection locked="0"/>
    </xf>
    <xf numFmtId="170" fontId="14" fillId="0" borderId="212" xfId="0" applyFont="1" applyBorder="1" applyAlignment="1" applyProtection="1">
      <alignment horizontal="justify" vertical="center" wrapText="1"/>
      <protection locked="0"/>
    </xf>
    <xf numFmtId="170" fontId="14" fillId="0" borderId="164" xfId="0" applyFont="1" applyBorder="1" applyAlignment="1" applyProtection="1">
      <alignment horizontal="justify" vertical="center" wrapText="1"/>
      <protection locked="0"/>
    </xf>
    <xf numFmtId="170" fontId="14" fillId="0" borderId="200" xfId="0" applyFont="1" applyBorder="1" applyAlignment="1" applyProtection="1">
      <alignment horizontal="justify" vertical="center" wrapText="1"/>
      <protection locked="0"/>
    </xf>
    <xf numFmtId="170" fontId="14" fillId="0" borderId="161" xfId="0" applyFont="1" applyBorder="1" applyAlignment="1" applyProtection="1">
      <alignment horizontal="left" vertical="center" wrapText="1"/>
      <protection locked="0"/>
    </xf>
    <xf numFmtId="170" fontId="14" fillId="0" borderId="193" xfId="0" applyFont="1" applyBorder="1" applyAlignment="1" applyProtection="1">
      <alignment horizontal="left" vertical="center" wrapText="1"/>
      <protection locked="0"/>
    </xf>
    <xf numFmtId="170" fontId="14" fillId="0" borderId="194" xfId="0" applyFont="1" applyBorder="1" applyAlignment="1" applyProtection="1">
      <alignment horizontal="left" vertical="center" wrapText="1"/>
      <protection locked="0"/>
    </xf>
    <xf numFmtId="170" fontId="14" fillId="0" borderId="195" xfId="0" applyFont="1" applyBorder="1" applyAlignment="1" applyProtection="1">
      <alignment horizontal="left" vertical="center" wrapText="1"/>
      <protection locked="0"/>
    </xf>
    <xf numFmtId="170" fontId="14" fillId="0" borderId="201" xfId="0" applyFont="1" applyBorder="1" applyAlignment="1" applyProtection="1">
      <alignment horizontal="left"/>
      <protection locked="0"/>
    </xf>
    <xf numFmtId="170" fontId="14" fillId="0" borderId="214" xfId="0" applyFont="1" applyBorder="1" applyAlignment="1" applyProtection="1">
      <alignment horizontal="justify" vertical="center" wrapText="1"/>
      <protection locked="0"/>
    </xf>
    <xf numFmtId="170" fontId="14" fillId="0" borderId="197" xfId="0" applyFont="1" applyBorder="1" applyAlignment="1" applyProtection="1">
      <alignment horizontal="justify" vertical="center" wrapText="1"/>
      <protection locked="0"/>
    </xf>
    <xf numFmtId="170" fontId="14" fillId="0" borderId="198" xfId="0" applyFont="1" applyBorder="1" applyAlignment="1" applyProtection="1">
      <alignment horizontal="justify" vertical="center" wrapText="1"/>
      <protection locked="0"/>
    </xf>
    <xf numFmtId="164" fontId="8" fillId="13" borderId="0" xfId="22" applyFont="1" applyFill="1" applyBorder="1" applyAlignment="1" applyProtection="1">
      <alignment horizontal="center"/>
      <protection locked="0"/>
    </xf>
    <xf numFmtId="170" fontId="51" fillId="4" borderId="187" xfId="18" applyFont="1" applyFill="1" applyBorder="1" applyAlignment="1">
      <alignment horizontal="center" vertical="center" wrapText="1"/>
    </xf>
    <xf numFmtId="170" fontId="51" fillId="4" borderId="188" xfId="18" applyFont="1" applyFill="1" applyBorder="1" applyAlignment="1">
      <alignment horizontal="center" vertical="center" wrapText="1"/>
    </xf>
    <xf numFmtId="170" fontId="51" fillId="4" borderId="189" xfId="18" applyFont="1" applyFill="1" applyBorder="1" applyAlignment="1">
      <alignment horizontal="center" vertical="center" wrapText="1"/>
    </xf>
    <xf numFmtId="170" fontId="105" fillId="5" borderId="109" xfId="0" applyFont="1" applyFill="1" applyBorder="1" applyAlignment="1" applyProtection="1">
      <alignment horizontal="justify" vertical="top" wrapText="1"/>
      <protection locked="0"/>
    </xf>
    <xf numFmtId="170" fontId="105" fillId="5" borderId="108" xfId="0" applyFont="1" applyFill="1" applyBorder="1" applyAlignment="1" applyProtection="1">
      <alignment horizontal="justify" vertical="top" wrapText="1"/>
      <protection locked="0"/>
    </xf>
    <xf numFmtId="170" fontId="105" fillId="5" borderId="110" xfId="0" applyFont="1" applyFill="1" applyBorder="1" applyAlignment="1" applyProtection="1">
      <alignment horizontal="justify" vertical="top" wrapText="1"/>
      <protection locked="0"/>
    </xf>
    <xf numFmtId="170" fontId="105" fillId="5" borderId="111" xfId="0" applyFont="1" applyFill="1" applyBorder="1" applyAlignment="1" applyProtection="1">
      <alignment horizontal="justify" vertical="top" wrapText="1"/>
      <protection locked="0"/>
    </xf>
    <xf numFmtId="170" fontId="105" fillId="5" borderId="73" xfId="0" applyFont="1" applyFill="1" applyBorder="1" applyAlignment="1" applyProtection="1">
      <alignment horizontal="justify" vertical="top" wrapText="1"/>
      <protection locked="0"/>
    </xf>
    <xf numFmtId="170" fontId="105" fillId="5" borderId="75" xfId="0" applyFont="1" applyFill="1" applyBorder="1" applyAlignment="1" applyProtection="1">
      <alignment horizontal="justify" vertical="top" wrapText="1"/>
      <protection locked="0"/>
    </xf>
    <xf numFmtId="170" fontId="51" fillId="4" borderId="203" xfId="18" applyFont="1" applyFill="1" applyBorder="1" applyAlignment="1">
      <alignment horizontal="center" vertical="center" wrapText="1"/>
    </xf>
    <xf numFmtId="170" fontId="26" fillId="0" borderId="0" xfId="0" applyFont="1" applyAlignment="1">
      <alignment horizontal="center"/>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7">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theme="6" tint="0.79998168889431442"/>
        </patternFill>
      </fill>
    </dxf>
    <dxf>
      <fill>
        <patternFill>
          <bgColor theme="9" tint="0.799981688894314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datelor'!$D$85</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datelor'!$D$85:$D$86</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805027288"/>
        <c:axId val="801251416"/>
      </c:barChart>
      <c:catAx>
        <c:axId val="805027288"/>
        <c:scaling>
          <c:orientation val="minMax"/>
        </c:scaling>
        <c:delete val="1"/>
        <c:axPos val="l"/>
        <c:numFmt formatCode="General" sourceLinked="1"/>
        <c:majorTickMark val="out"/>
        <c:minorTickMark val="none"/>
        <c:tickLblPos val="none"/>
        <c:crossAx val="801251416"/>
        <c:crosses val="autoZero"/>
        <c:auto val="1"/>
        <c:lblAlgn val="ctr"/>
        <c:lblOffset val="100"/>
        <c:noMultiLvlLbl val="0"/>
      </c:catAx>
      <c:valAx>
        <c:axId val="80125141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805027288"/>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0.0</c:formatCode>
                <c:ptCount val="12"/>
                <c:pt idx="0">
                  <c:v>9.69</c:v>
                </c:pt>
                <c:pt idx="1">
                  <c:v>9.69</c:v>
                </c:pt>
              </c:numCache>
            </c:numRef>
          </c:val>
          <c:extLst>
            <c:ext xmlns:c16="http://schemas.microsoft.com/office/drawing/2014/chart" uri="{C3380CC4-5D6E-409C-BE32-E72D297353CC}">
              <c16:uniqueId val="{00000002-52EC-4BDC-81F0-2E469D21FB78}"/>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c:v>0</c:v>
                </c:pt>
                <c:pt idx="1">
                  <c:v>0</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807840856"/>
        <c:axId val="807841248"/>
      </c:barChart>
      <c:catAx>
        <c:axId val="807840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1248"/>
        <c:crosses val="autoZero"/>
        <c:auto val="1"/>
        <c:lblAlgn val="ctr"/>
        <c:lblOffset val="100"/>
        <c:tickLblSkip val="1"/>
        <c:tickMarkSkip val="1"/>
        <c:noMultiLvlLbl val="0"/>
      </c:catAx>
      <c:valAx>
        <c:axId val="8078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datelor'!$G$122</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datelor'!$H$122:$S$122</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datelor'!$H$123:$S$123</c:f>
              <c:numCache>
                <c:formatCode>0.0</c:formatCode>
                <c:ptCount val="12"/>
                <c:pt idx="0">
                  <c:v>5.8</c:v>
                </c:pt>
                <c:pt idx="1">
                  <c:v>5.8</c:v>
                </c:pt>
              </c:numCache>
            </c:numRef>
          </c:val>
          <c:extLst>
            <c:ext xmlns:c16="http://schemas.microsoft.com/office/drawing/2014/chart" uri="{C3380CC4-5D6E-409C-BE32-E72D297353CC}">
              <c16:uniqueId val="{0000000B-ED6C-4DE1-9468-E65DE69FFA0B}"/>
            </c:ext>
          </c:extLst>
        </c:ser>
        <c:ser>
          <c:idx val="2"/>
          <c:order val="2"/>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datelor'!$H$124:$S$124</c:f>
              <c:numCache>
                <c:formatCode>0.0</c:formatCode>
                <c:ptCount val="12"/>
                <c:pt idx="0" formatCode="0.00%">
                  <c:v>0</c:v>
                </c:pt>
                <c:pt idx="1">
                  <c:v>4.78</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646584552"/>
        <c:axId val="646584944"/>
      </c:barChart>
      <c:catAx>
        <c:axId val="646584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944"/>
        <c:crosses val="autoZero"/>
        <c:auto val="1"/>
        <c:lblAlgn val="ctr"/>
        <c:lblOffset val="100"/>
        <c:tickLblSkip val="1"/>
        <c:tickMarkSkip val="1"/>
        <c:noMultiLvlLbl val="0"/>
      </c:catAx>
      <c:valAx>
        <c:axId val="64658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datelor'!$H$131:$S$131</c:f>
              <c:numCache>
                <c:formatCode>0.0</c:formatCode>
                <c:ptCount val="12"/>
                <c:pt idx="0" formatCode="#,##0">
                  <c:v>0</c:v>
                </c:pt>
                <c:pt idx="1">
                  <c:v>0</c:v>
                </c:pt>
              </c:numCache>
            </c:numRef>
          </c:val>
          <c:extLst>
            <c:ext xmlns:c16="http://schemas.microsoft.com/office/drawing/2014/chart" uri="{C3380CC4-5D6E-409C-BE32-E72D297353CC}">
              <c16:uniqueId val="{00000002-AB67-4507-9DCD-77920C14C072}"/>
            </c:ext>
          </c:extLst>
        </c:ser>
        <c:ser>
          <c:idx val="2"/>
          <c:order val="1"/>
          <c:tx>
            <c:strRef>
              <c:f>'Introducerea datelor'!$G$132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datelor'!$H$132:$S$132</c:f>
              <c:numCache>
                <c:formatCode>0.0</c:formatCode>
                <c:ptCount val="12"/>
                <c:pt idx="0" formatCode="#,##0">
                  <c:v>0</c:v>
                </c:pt>
                <c:pt idx="1">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646585728"/>
        <c:axId val="523898240"/>
      </c:barChart>
      <c:catAx>
        <c:axId val="646585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8240"/>
        <c:crosses val="autoZero"/>
        <c:auto val="1"/>
        <c:lblAlgn val="ctr"/>
        <c:lblOffset val="100"/>
        <c:tickLblSkip val="1"/>
        <c:tickMarkSkip val="1"/>
        <c:noMultiLvlLbl val="0"/>
      </c:catAx>
      <c:valAx>
        <c:axId val="52389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datelor'!$H$133:$S$133</c:f>
              <c:numCache>
                <c:formatCode>0.0</c:formatCode>
                <c:ptCount val="12"/>
                <c:pt idx="0" formatCode="#,##0">
                  <c:v>0</c:v>
                </c:pt>
                <c:pt idx="1">
                  <c:v>0</c:v>
                </c:pt>
              </c:numCache>
            </c:numRef>
          </c:val>
          <c:extLst>
            <c:ext xmlns:c16="http://schemas.microsoft.com/office/drawing/2014/chart" uri="{C3380CC4-5D6E-409C-BE32-E72D297353CC}">
              <c16:uniqueId val="{00000002-4350-409D-B5E1-D06548E981D0}"/>
            </c:ext>
          </c:extLst>
        </c:ser>
        <c:ser>
          <c:idx val="2"/>
          <c:order val="1"/>
          <c:tx>
            <c:strRef>
              <c:f>'Introducerea datelor'!$G$134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datelor'!$H$134:$S$134</c:f>
              <c:numCache>
                <c:formatCode>0.0</c:formatCode>
                <c:ptCount val="12"/>
                <c:pt idx="0" formatCode="#,##0">
                  <c:v>0</c:v>
                </c:pt>
                <c:pt idx="1">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523899024"/>
        <c:axId val="523899416"/>
      </c:barChart>
      <c:catAx>
        <c:axId val="523899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416"/>
        <c:crosses val="autoZero"/>
        <c:auto val="1"/>
        <c:lblAlgn val="ctr"/>
        <c:lblOffset val="100"/>
        <c:tickLblSkip val="1"/>
        <c:tickMarkSkip val="1"/>
        <c:noMultiLvlLbl val="0"/>
      </c:catAx>
      <c:valAx>
        <c:axId val="52389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0.0</c:formatCode>
                <c:ptCount val="12"/>
                <c:pt idx="0">
                  <c:v>0</c:v>
                </c:pt>
                <c:pt idx="1">
                  <c:v>0</c:v>
                </c:pt>
              </c:numCache>
            </c:numRef>
          </c:val>
          <c:extLst>
            <c:ext xmlns:c16="http://schemas.microsoft.com/office/drawing/2014/chart" uri="{C3380CC4-5D6E-409C-BE32-E72D297353CC}">
              <c16:uniqueId val="{00000005-45E1-4BA1-8735-4FFEBDCD01F4}"/>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c:formatCode>
                <c:ptCount val="12"/>
                <c:pt idx="0">
                  <c:v>0</c:v>
                </c:pt>
                <c:pt idx="1">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149082608"/>
        <c:axId val="149083000"/>
      </c:barChart>
      <c:catAx>
        <c:axId val="149082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3000"/>
        <c:crosses val="autoZero"/>
        <c:auto val="1"/>
        <c:lblAlgn val="ctr"/>
        <c:lblOffset val="100"/>
        <c:tickLblSkip val="1"/>
        <c:tickMarkSkip val="1"/>
        <c:noMultiLvlLbl val="0"/>
      </c:catAx>
      <c:valAx>
        <c:axId val="149083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3047512.08</c:v>
                </c:pt>
                <c:pt idx="1">
                  <c:v>8514420.7699999996</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5100114.6100000003</c:v>
                </c:pt>
                <c:pt idx="1">
                  <c:v>7384542.5800000001</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149083784"/>
        <c:axId val="149084176"/>
      </c:areaChart>
      <c:catAx>
        <c:axId val="14908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9084176"/>
        <c:crosses val="autoZero"/>
        <c:auto val="1"/>
        <c:lblAlgn val="ctr"/>
        <c:lblOffset val="100"/>
        <c:tickLblSkip val="8"/>
        <c:tickMarkSkip val="1"/>
        <c:noMultiLvlLbl val="0"/>
      </c:catAx>
      <c:valAx>
        <c:axId val="149084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908378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datelor'!$C$90</c:f>
              <c:numCache>
                <c:formatCode>#,##0</c:formatCode>
                <c:ptCount val="1"/>
                <c:pt idx="0">
                  <c:v>1</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801250240"/>
        <c:axId val="644324304"/>
      </c:barChart>
      <c:catAx>
        <c:axId val="80125024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644324304"/>
        <c:crosses val="autoZero"/>
        <c:auto val="0"/>
        <c:lblAlgn val="ctr"/>
        <c:lblOffset val="100"/>
        <c:tickMarkSkip val="1"/>
        <c:noMultiLvlLbl val="0"/>
      </c:catAx>
      <c:valAx>
        <c:axId val="64432430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80125024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datelor'!$D$77</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datelor'!$D$78:$D$79</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datelor'!$E$77</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datelor'!$E$78:$E$79</c:f>
              <c:numCache>
                <c:formatCode>0</c:formatCode>
                <c:ptCount val="2"/>
              </c:numCache>
            </c:numRef>
          </c:val>
          <c:extLst>
            <c:ext xmlns:c16="http://schemas.microsoft.com/office/drawing/2014/chart" uri="{C3380CC4-5D6E-409C-BE32-E72D297353CC}">
              <c16:uniqueId val="{00000001-D08E-42FA-87E5-9BAD02454A53}"/>
            </c:ext>
          </c:extLst>
        </c:ser>
        <c:ser>
          <c:idx val="2"/>
          <c:order val="2"/>
          <c:tx>
            <c:strRef>
              <c:f>'Introducerea datelor'!$F$77</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datelor'!$F$78:$F$79</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644324696"/>
        <c:axId val="530742616"/>
      </c:barChart>
      <c:catAx>
        <c:axId val="644324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742616"/>
        <c:crosses val="autoZero"/>
        <c:auto val="1"/>
        <c:lblAlgn val="ctr"/>
        <c:lblOffset val="100"/>
        <c:tickLblSkip val="1"/>
        <c:tickMarkSkip val="1"/>
        <c:noMultiLvlLbl val="0"/>
      </c:catAx>
      <c:valAx>
        <c:axId val="530742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43246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datelor'!$D$94</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datelor'!$D$95:$D$96</c:f>
              <c:numCache>
                <c:formatCode>0</c:formatCode>
                <c:ptCount val="2"/>
                <c:pt idx="1">
                  <c:v>1</c:v>
                </c:pt>
              </c:numCache>
            </c:numRef>
          </c:val>
          <c:extLst>
            <c:ext xmlns:c16="http://schemas.microsoft.com/office/drawing/2014/chart" uri="{C3380CC4-5D6E-409C-BE32-E72D297353CC}">
              <c16:uniqueId val="{00000000-0579-471F-8EB0-B16F21AC51C8}"/>
            </c:ext>
          </c:extLst>
        </c:ser>
        <c:ser>
          <c:idx val="2"/>
          <c:order val="1"/>
          <c:tx>
            <c:strRef>
              <c:f>'Introducerea datelor'!$E$94</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datelor'!$E$95:$E$96</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656996352"/>
        <c:axId val="656996744"/>
      </c:barChart>
      <c:catAx>
        <c:axId val="656996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744"/>
        <c:crosses val="autoZero"/>
        <c:auto val="1"/>
        <c:lblAlgn val="ctr"/>
        <c:lblOffset val="100"/>
        <c:noMultiLvlLbl val="0"/>
      </c:catAx>
      <c:valAx>
        <c:axId val="656996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35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datelor'!$B$104</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datelor'!$C$104:$N$104</c:f>
              <c:numCache>
                <c:formatCode>#,##0</c:formatCode>
                <c:ptCount val="12"/>
                <c:pt idx="0">
                  <c:v>931104.32000000007</c:v>
                </c:pt>
                <c:pt idx="1">
                  <c:v>2922289.7199999997</c:v>
                </c:pt>
              </c:numCache>
            </c:numRef>
          </c:val>
          <c:extLst>
            <c:ext xmlns:c16="http://schemas.microsoft.com/office/drawing/2014/chart" uri="{C3380CC4-5D6E-409C-BE32-E72D297353CC}">
              <c16:uniqueId val="{00000000-C2BB-4102-AC1C-6C02FD33FD2D}"/>
            </c:ext>
          </c:extLst>
        </c:ser>
        <c:ser>
          <c:idx val="1"/>
          <c:order val="1"/>
          <c:tx>
            <c:strRef>
              <c:f>'Introducerea datelor'!$B$105</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datelor'!$C$105:$N$105</c:f>
              <c:numCache>
                <c:formatCode>#,##0</c:formatCode>
                <c:ptCount val="12"/>
                <c:pt idx="0">
                  <c:v>412674.4182289688</c:v>
                </c:pt>
                <c:pt idx="1">
                  <c:v>1687833.782021337</c:v>
                </c:pt>
              </c:numCache>
            </c:numRef>
          </c:val>
          <c:extLst>
            <c:ext xmlns:c16="http://schemas.microsoft.com/office/drawing/2014/chart" uri="{C3380CC4-5D6E-409C-BE32-E72D297353CC}">
              <c16:uniqueId val="{00000001-C2BB-4102-AC1C-6C02FD33FD2D}"/>
            </c:ext>
          </c:extLst>
        </c:ser>
        <c:ser>
          <c:idx val="2"/>
          <c:order val="2"/>
          <c:tx>
            <c:strRef>
              <c:f>'Introducerea datelor'!$B$106</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datelor'!$C$106:$N$106</c:f>
              <c:numCache>
                <c:formatCode>#,##0</c:formatCode>
                <c:ptCount val="12"/>
                <c:pt idx="0">
                  <c:v>199615.16</c:v>
                </c:pt>
                <c:pt idx="1">
                  <c:v>1013764.5900000001</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527714528"/>
        <c:axId val="527714920"/>
      </c:barChart>
      <c:catAx>
        <c:axId val="5277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920"/>
        <c:crosses val="autoZero"/>
        <c:auto val="1"/>
        <c:lblAlgn val="ctr"/>
        <c:lblOffset val="100"/>
        <c:noMultiLvlLbl val="0"/>
      </c:catAx>
      <c:valAx>
        <c:axId val="527714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3047512.08</c:v>
                </c:pt>
                <c:pt idx="1">
                  <c:v>8514420.7699999996</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5100114.6100000003</c:v>
                </c:pt>
                <c:pt idx="1">
                  <c:v>7384542.5800000001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527715704"/>
        <c:axId val="527716096"/>
      </c:barChart>
      <c:catAx>
        <c:axId val="52771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6096"/>
        <c:crosses val="autoZero"/>
        <c:auto val="1"/>
        <c:lblAlgn val="ctr"/>
        <c:lblOffset val="100"/>
        <c:tickMarkSkip val="1"/>
        <c:noMultiLvlLbl val="0"/>
      </c:catAx>
      <c:valAx>
        <c:axId val="52771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5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datelor'!$C$57</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datelor'!$C$57:$C$61</c15:sqref>
                  </c15:fullRef>
                </c:ext>
              </c:extLst>
              <c:f>'Introducerea datelor'!$C$58:$C$61</c:f>
              <c:numCache>
                <c:formatCode>#,##0.00</c:formatCode>
                <c:ptCount val="4"/>
                <c:pt idx="0">
                  <c:v>5100114.6100000003</c:v>
                </c:pt>
                <c:pt idx="1">
                  <c:v>2111576.94</c:v>
                </c:pt>
                <c:pt idx="2">
                  <c:v>934864.52</c:v>
                </c:pt>
                <c:pt idx="3">
                  <c:v>414119.19</c:v>
                </c:pt>
              </c:numCache>
            </c:numRef>
          </c:val>
          <c:extLst>
            <c:ext xmlns:c16="http://schemas.microsoft.com/office/drawing/2014/chart" uri="{C3380CC4-5D6E-409C-BE32-E72D297353CC}">
              <c16:uniqueId val="{00000000-C369-4708-87A9-A84FC531C4BE}"/>
            </c:ext>
          </c:extLst>
        </c:ser>
        <c:ser>
          <c:idx val="1"/>
          <c:order val="1"/>
          <c:tx>
            <c:strRef>
              <c:f>'Introducerea datelor'!$D$57</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datelor'!$D$57:$D$61</c15:sqref>
                  </c15:fullRef>
                </c:ext>
              </c:extLst>
              <c:f>'Introducerea datelor'!$D$58:$D$61</c:f>
              <c:numCache>
                <c:formatCode>#,##0.00</c:formatCode>
                <c:ptCount val="4"/>
                <c:pt idx="0">
                  <c:v>2284427.9700000002</c:v>
                </c:pt>
                <c:pt idx="1">
                  <c:v>2377966.1</c:v>
                </c:pt>
                <c:pt idx="2">
                  <c:v>1294056.6299999999</c:v>
                </c:pt>
                <c:pt idx="3">
                  <c:v>927313.22</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527592400"/>
        <c:axId val="527592792"/>
      </c:barChart>
      <c:catAx>
        <c:axId val="527592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792"/>
        <c:crossesAt val="0"/>
        <c:auto val="1"/>
        <c:lblAlgn val="ctr"/>
        <c:lblOffset val="100"/>
        <c:noMultiLvlLbl val="0"/>
      </c:catAx>
      <c:valAx>
        <c:axId val="527592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datelor'!$C$38:$C$49</c15:sqref>
                  </c15:fullRef>
                </c:ext>
              </c:extLst>
              <c:f>'Introducerea datelor'!$C$39:$C$49</c:f>
              <c:numCache>
                <c:formatCode>#,##0.00</c:formatCode>
                <c:ptCount val="11"/>
                <c:pt idx="0">
                  <c:v>107947.42</c:v>
                </c:pt>
                <c:pt idx="1">
                  <c:v>2153421.94</c:v>
                </c:pt>
                <c:pt idx="2">
                  <c:v>1449973.09</c:v>
                </c:pt>
                <c:pt idx="3">
                  <c:v>524558.78</c:v>
                </c:pt>
                <c:pt idx="4">
                  <c:v>132797.98000000001</c:v>
                </c:pt>
                <c:pt idx="5">
                  <c:v>133657.26</c:v>
                </c:pt>
                <c:pt idx="6">
                  <c:v>603756.81000000006</c:v>
                </c:pt>
                <c:pt idx="7">
                  <c:v>57692.93</c:v>
                </c:pt>
                <c:pt idx="8">
                  <c:v>96668.11</c:v>
                </c:pt>
                <c:pt idx="9">
                  <c:v>33630.65</c:v>
                </c:pt>
                <c:pt idx="10">
                  <c:v>139625.73000000001</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datelor'!$D$38:$D$49</c15:sqref>
                  </c15:fullRef>
                </c:ext>
              </c:extLst>
              <c:f>'Introducerea datelor'!$D$39:$D$49</c:f>
              <c:numCache>
                <c:formatCode>#,##0.00</c:formatCode>
                <c:ptCount val="11"/>
                <c:pt idx="0">
                  <c:v>56770.89</c:v>
                </c:pt>
                <c:pt idx="1">
                  <c:v>1488132.59</c:v>
                </c:pt>
                <c:pt idx="2">
                  <c:v>1078984.07</c:v>
                </c:pt>
                <c:pt idx="3">
                  <c:v>490366.51</c:v>
                </c:pt>
                <c:pt idx="4">
                  <c:v>43398.86</c:v>
                </c:pt>
                <c:pt idx="5">
                  <c:v>125684.42</c:v>
                </c:pt>
                <c:pt idx="6">
                  <c:v>498975.59</c:v>
                </c:pt>
                <c:pt idx="7">
                  <c:v>47752.49</c:v>
                </c:pt>
                <c:pt idx="8">
                  <c:v>89599.55</c:v>
                </c:pt>
                <c:pt idx="9">
                  <c:v>12136.19</c:v>
                </c:pt>
                <c:pt idx="10">
                  <c:v>3822.46</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656997528"/>
        <c:axId val="799551880"/>
      </c:barChart>
      <c:catAx>
        <c:axId val="656997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1880"/>
        <c:crosses val="autoZero"/>
        <c:auto val="1"/>
        <c:lblAlgn val="ctr"/>
        <c:lblOffset val="100"/>
        <c:tickMarkSkip val="1"/>
        <c:noMultiLvlLbl val="0"/>
      </c:catAx>
      <c:valAx>
        <c:axId val="799551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97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0.0</c:formatCode>
                <c:ptCount val="12"/>
                <c:pt idx="0">
                  <c:v>24.29</c:v>
                </c:pt>
                <c:pt idx="1">
                  <c:v>24.29</c:v>
                </c:pt>
              </c:numCache>
            </c:numRef>
          </c:val>
          <c:extLst>
            <c:ext xmlns:c16="http://schemas.microsoft.com/office/drawing/2014/chart" uri="{C3380CC4-5D6E-409C-BE32-E72D297353CC}">
              <c16:uniqueId val="{00000002-DCD8-4C81-A46D-B0AFC1EAE687}"/>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c:formatCode>
                <c:ptCount val="12"/>
                <c:pt idx="0" formatCode="0.00%">
                  <c:v>0</c:v>
                </c:pt>
                <c:pt idx="1">
                  <c:v>22.1</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799553056"/>
        <c:axId val="807840072"/>
      </c:barChart>
      <c:catAx>
        <c:axId val="799553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072"/>
        <c:crosses val="autoZero"/>
        <c:auto val="1"/>
        <c:lblAlgn val="ctr"/>
        <c:lblOffset val="100"/>
        <c:tickLblSkip val="1"/>
        <c:tickMarkSkip val="1"/>
        <c:noMultiLvlLbl val="0"/>
      </c:catAx>
      <c:valAx>
        <c:axId val="80784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17</xdr:col>
      <xdr:colOff>1714500</xdr:colOff>
      <xdr:row>18</xdr:row>
      <xdr:rowOff>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6" totalsRowShown="0" headerRowDxfId="10" headerRowBorderDxfId="9" tableBorderDxfId="8" totalsRowBorderDxfId="7">
  <autoFilter ref="A1:G26"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conform Planului M&amp;E)" dataDxfId="2"/>
    <tableColumn id="5" xr3:uid="{00000000-0010-0000-3A01-000005000000}" name="Frecvența de colectare a datelor"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2" connectionId="0">
    <xmlCellPr id="1" xr6:uid="{00000000-0010-0000-2D00-000001000000}" uniqueName="1">
      <xmlPr mapId="43" xpath="/ns1:Root/ns1:F2/ns1:TB_HIV__Cumulative_Budget__in___" xmlDataType="double"/>
    </xmlCellPr>
  </singleXmlCell>
  <singleXmlCell id="465" xr6:uid="{00000000-000C-0000-FFFF-FFFF2E000000}" r="D42" connectionId="0">
    <xmlCellPr id="1" xr6:uid="{00000000-0010-0000-2E00-000001000000}" uniqueName="1">
      <xmlPr mapId="43" xpath="/ns1:Root/ns1:F2/ns1:TB_HIV__Cumulative_Expenditures__in___" xmlDataType="double"/>
    </xmlCellPr>
  </singleXmlCell>
  <singleXmlCell id="468" xr6:uid="{00000000-000C-0000-FFFF-FFFF2F000000}" r="C49" connectionId="0">
    <xmlCellPr id="1" xr6:uid="{00000000-0010-0000-2F00-000001000000}" uniqueName="1">
      <xmlPr mapId="43" xpath="/ns1:Root/ns1:F2/ns1:Environ__Community_TB_care__Cumulative_Budget__in___" xmlDataType="double"/>
    </xmlCellPr>
  </singleXmlCell>
  <singleXmlCell id="469" xr6:uid="{00000000-000C-0000-FFFF-FFFF30000000}" r="D49" connectionId="0">
    <xmlCellPr id="1" xr6:uid="{00000000-0010-0000-3000-000001000000}" uniqueName="1">
      <xmlPr mapId="43" xpath="/ns1:Root/ns1:F2/ns1:Environ__Community_TB_care__Cumulative_Expenditures__in___" xmlDataType="double"/>
    </xmlCellPr>
  </singleXmlCell>
  <singleXmlCell id="470" xr6:uid="{00000000-000C-0000-FFFF-FFFF31000000}" r="C50" connectionId="0">
    <xmlCellPr id="1" xr6:uid="{00000000-0010-0000-3100-000001000000}" uniqueName="1">
      <xmlPr mapId="43" xpath="/ns1:Root/ns1:F2/ns1:_Cumulative_Budget__in____1" xmlDataType="string"/>
    </xmlCellPr>
  </singleXmlCell>
  <singleXmlCell id="471" xr6:uid="{00000000-000C-0000-FFFF-FFFF32000000}" r="D50" connectionId="0">
    <xmlCellPr id="1" xr6:uid="{00000000-0010-0000-3200-000001000000}" uniqueName="1">
      <xmlPr mapId="43" xpath="/ns1:Root/ns1:F2/ns1:_Cumulative_Expenditures__in____1" xmlDataType="string"/>
    </xmlCellPr>
  </singleXmlCell>
  <singleXmlCell id="472" xr6:uid="{00000000-000C-0000-FFFF-FFFF33000000}" r="C51" connectionId="0">
    <xmlCellPr id="1" xr6:uid="{00000000-0010-0000-3300-000001000000}" uniqueName="1">
      <xmlPr mapId="43" xpath="/ns1:Root/ns1:F2/ns1:_Cumulative_Budget__in____2" xmlDataType="string"/>
    </xmlCellPr>
  </singleXmlCell>
  <singleXmlCell id="473" xr6:uid="{00000000-000C-0000-FFFF-FFFF34000000}" r="D51" connectionId="0">
    <xmlCellPr id="1" xr6:uid="{00000000-0010-0000-3400-000001000000}" uniqueName="1">
      <xmlPr mapId="43" xpath="/ns1:Root/ns1:F2/ns1:_Cumulative_Expenditures__in____2" xmlDataType="string"/>
    </xmlCellPr>
  </singleXmlCell>
  <singleXmlCell id="474" xr6:uid="{00000000-000C-0000-FFFF-FFFF35000000}" r="C52" connectionId="0">
    <xmlCellPr id="1" xr6:uid="{00000000-0010-0000-3500-000001000000}" uniqueName="1">
      <xmlPr mapId="43" xpath="/ns1:Root/ns1:F2/ns1:_Cumulative_Budget__in___" xmlDataType="string"/>
    </xmlCellPr>
  </singleXmlCell>
  <singleXmlCell id="475" xr6:uid="{00000000-000C-0000-FFFF-FFFF36000000}" r="D52" connectionId="0">
    <xmlCellPr id="1" xr6:uid="{00000000-0010-0000-3600-000001000000}" uniqueName="1">
      <xmlPr mapId="43" xpath="/ns1:Root/ns1:F2/ns1:_Cumulative_Expenditures__in___" xmlDataType="string"/>
    </xmlCellPr>
  </singleXmlCell>
  <singleXmlCell id="476" xr6:uid="{00000000-000C-0000-FFFF-FFFF37000000}" r="C58" connectionId="0">
    <xmlCellPr id="1" xr6:uid="{00000000-0010-0000-3700-000001000000}" uniqueName="1">
      <xmlPr mapId="43" xpath="/ns1:Root/ns1:F3/ns1:Disbursed_by_Global_Fund_Prior_to_reporting_period__in___" xmlDataType="double"/>
    </xmlCellPr>
  </singleXmlCell>
  <singleXmlCell id="477" xr6:uid="{00000000-000C-0000-FFFF-FFFF38000000}" r="D58" connectionId="0">
    <xmlCellPr id="1" xr6:uid="{00000000-0010-0000-3800-000001000000}" uniqueName="1">
      <xmlPr mapId="43" xpath="/ns1:Root/ns1:F3/ns1:Disbursed_by_Global_Fund_Reporting_period__in___" xmlDataType="double"/>
    </xmlCellPr>
  </singleXmlCell>
  <singleXmlCell id="479" xr6:uid="{00000000-000C-0000-FFFF-FFFF3A000000}" r="D59" connectionId="0">
    <xmlCellPr id="1" xr6:uid="{00000000-0010-0000-3A00-000001000000}" uniqueName="1">
      <xmlPr mapId="43" xpath="/ns1:Root/ns1:F3/ns1:PR_expenditure_and_disbursement_Reporting_period__in___" xmlDataType="double"/>
    </xmlCellPr>
  </singleXmlCell>
  <singleXmlCell id="481" xr6:uid="{00000000-000C-0000-FFFF-FFFF3C000000}" r="D60" connectionId="0">
    <xmlCellPr id="1" xr6:uid="{00000000-0010-0000-3C00-000001000000}" uniqueName="1">
      <xmlPr mapId="43" xpath="/ns1:Root/ns1:F3/ns1:Disbursed_to_SRs_Reporting_period__in___" xmlDataType="double"/>
    </xmlCellPr>
  </singleXmlCell>
  <singleXmlCell id="483" xr6:uid="{00000000-000C-0000-FFFF-FFFF3E000000}" r="D61" connectionId="0">
    <xmlCellPr id="1" xr6:uid="{00000000-0010-0000-3E00-000001000000}" uniqueName="1">
      <xmlPr mapId="43" xpath="/ns1:Root/ns1:F3/ns1:SR_expenditures_Reporting_period__in___" xmlDataType="double"/>
    </xmlCellPr>
  </singleXmlCell>
  <singleXmlCell id="484" xr6:uid="{00000000-000C-0000-FFFF-FFFF3F000000}" r="C68" connectionId="0">
    <xmlCellPr id="1" xr6:uid="{00000000-0010-0000-3F00-000001000000}" uniqueName="1">
      <xmlPr mapId="43" xpath="/ns1:Root/ns1:F4/ns1:Days_taken_to_submit_acceptable_PU_DR_to_LFA_Expected__days_" xmlDataType="double"/>
    </xmlCellPr>
  </singleXmlCell>
  <singleXmlCell id="485" xr6:uid="{00000000-000C-0000-FFFF-FFFF40000000}" r="D68" connectionId="0">
    <xmlCellPr id="1" xr6:uid="{00000000-0010-0000-4000-000001000000}" uniqueName="1">
      <xmlPr mapId="43" xpath="/ns1:Root/ns1:F4/ns1:Days_taken_to_submit_acceptable_PU_DR_to_LFA_Actual__days_" xmlDataType="double"/>
    </xmlCellPr>
  </singleXmlCell>
  <singleXmlCell id="486" xr6:uid="{00000000-000C-0000-FFFF-FFFF41000000}" r="C69" connectionId="0">
    <xmlCellPr id="1" xr6:uid="{00000000-0010-0000-4100-000001000000}" uniqueName="1">
      <xmlPr mapId="43" xpath="/ns1:Root/ns1:F4/ns1:Days_taken_for_disbursement_to_reach_PR_Expected__days_" xmlDataType="double"/>
    </xmlCellPr>
  </singleXmlCell>
  <singleXmlCell id="487" xr6:uid="{00000000-000C-0000-FFFF-FFFF42000000}" r="D69" connectionId="0">
    <xmlCellPr id="1" xr6:uid="{00000000-0010-0000-4200-000001000000}" uniqueName="1">
      <xmlPr mapId="43" xpath="/ns1:Root/ns1:F4/ns1:Days_taken_for_disbursement_to_reach_PR_Actual__days_" xmlDataType="double"/>
    </xmlCellPr>
  </singleXmlCell>
  <singleXmlCell id="488" xr6:uid="{00000000-000C-0000-FFFF-FFFF43000000}" r="C70" connectionId="0">
    <xmlCellPr id="1" xr6:uid="{00000000-0010-0000-4300-000001000000}" uniqueName="1">
      <xmlPr mapId="43" xpath="/ns1:Root/ns1:F4/ns1:Days_taken_for_disbursement_to_reach_SRs__Expected__days_" xmlDataType="double"/>
    </xmlCellPr>
  </singleXmlCell>
  <singleXmlCell id="489" xr6:uid="{00000000-000C-0000-FFFF-FFFF44000000}" r="D70" connectionId="0">
    <xmlCellPr id="1" xr6:uid="{00000000-0010-0000-4400-000001000000}" uniqueName="1">
      <xmlPr mapId="43" xpath="/ns1:Root/ns1:F4/ns1:Days_taken_for_disbursement_to_reach_SRs__Actual__days_" xmlDataType="double"/>
    </xmlCellPr>
  </singleXmlCell>
  <singleXmlCell id="490" xr6:uid="{00000000-000C-0000-FFFF-FFFF45000000}" r="B78" connectionId="0">
    <xmlCellPr id="1" xr6:uid="{00000000-0010-0000-4500-000001000000}" uniqueName="1">
      <xmlPr mapId="43" xpath="/ns1:Root/ns1:M1/ns1:Conditions_precedents__CPs__" xmlDataType="string"/>
    </xmlCellPr>
  </singleXmlCell>
  <singleXmlCell id="491" xr6:uid="{00000000-000C-0000-FFFF-FFFF46000000}" r="D78" connectionId="0">
    <xmlCellPr id="1" xr6:uid="{00000000-0010-0000-4600-000001000000}" uniqueName="1">
      <xmlPr mapId="43" xpath="/ns1:Root/ns1:M1/ns1:Conditions_precedents__CPs__Fulfilled" xmlDataType="double"/>
    </xmlCellPr>
  </singleXmlCell>
  <singleXmlCell id="492" xr6:uid="{00000000-000C-0000-FFFF-FFFF47000000}" r="E78"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8"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9" connectionId="0">
    <xmlCellPr id="1" xr6:uid="{00000000-0010-0000-4900-000001000000}" uniqueName="1">
      <xmlPr mapId="43" xpath="/ns1:Root/ns1:M1/ns1:Time_Bound_Actions__TBAs__" xmlDataType="string"/>
    </xmlCellPr>
  </singleXmlCell>
  <singleXmlCell id="495" xr6:uid="{00000000-000C-0000-FFFF-FFFF4A000000}" r="D79" connectionId="0">
    <xmlCellPr id="1" xr6:uid="{00000000-0010-0000-4A00-000001000000}" uniqueName="1">
      <xmlPr mapId="43" xpath="/ns1:Root/ns1:M1/ns1:Time_Bound_Actions__TBAs__Fulfilled" xmlDataType="double"/>
    </xmlCellPr>
  </singleXmlCell>
  <singleXmlCell id="496" xr6:uid="{00000000-000C-0000-FFFF-FFFF4B000000}" r="E79" connectionId="0">
    <xmlCellPr id="1" xr6:uid="{00000000-0010-0000-4B00-000001000000}" uniqueName="1">
      <xmlPr mapId="43" xpath="/ns1:Root/ns1:M1/ns1:Time_Bound_Actions__TBAs__Not_fulfilled__but_within_deadline" xmlDataType="string"/>
    </xmlCellPr>
  </singleXmlCell>
  <singleXmlCell id="497" xr6:uid="{00000000-000C-0000-FFFF-FFFF4C000000}" r="F79"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5" connectionId="0">
    <xmlCellPr id="1" xr6:uid="{00000000-0010-0000-4D00-000001000000}" uniqueName="1">
      <xmlPr mapId="43" xpath="/ns1:Root/ns1:M2/ns1:PMU_Planned" xmlDataType="double"/>
    </xmlCellPr>
  </singleXmlCell>
  <singleXmlCell id="499" xr6:uid="{00000000-000C-0000-FFFF-FFFF4E000000}" r="D85" connectionId="0">
    <xmlCellPr id="1" xr6:uid="{00000000-0010-0000-4E00-000001000000}" uniqueName="1">
      <xmlPr mapId="43" xpath="/ns1:Root/ns1:M2/ns1:PMU_Filled" xmlDataType="double"/>
    </xmlCellPr>
  </singleXmlCell>
  <singleXmlCell id="500" xr6:uid="{00000000-000C-0000-FFFF-FFFF4F000000}" r="C90" connectionId="0">
    <xmlCellPr id="1" xr6:uid="{00000000-0010-0000-4F00-000001000000}" uniqueName="1">
      <xmlPr mapId="43" xpath="/ns1:Root/ns1:M3/ns1:SRs_Identified" xmlDataType="double"/>
    </xmlCellPr>
  </singleXmlCell>
  <singleXmlCell id="501" xr6:uid="{00000000-000C-0000-FFFF-FFFF50000000}" r="D90" connectionId="0">
    <xmlCellPr id="1" xr6:uid="{00000000-0010-0000-5000-000001000000}" uniqueName="1">
      <xmlPr mapId="43" xpath="/ns1:Root/ns1:M3/ns1:SRs_Assessed" xmlDataType="double"/>
    </xmlCellPr>
  </singleXmlCell>
  <singleXmlCell id="502" xr6:uid="{00000000-000C-0000-FFFF-FFFF51000000}" r="E90" connectionId="0">
    <xmlCellPr id="1" xr6:uid="{00000000-0010-0000-5100-000001000000}" uniqueName="1">
      <xmlPr mapId="43" xpath="/ns1:Root/ns1:M3/ns1:SRs_Approved" xmlDataType="double"/>
    </xmlCellPr>
  </singleXmlCell>
  <singleXmlCell id="503" xr6:uid="{00000000-000C-0000-FFFF-FFFF52000000}" r="F90" connectionId="0">
    <xmlCellPr id="1" xr6:uid="{00000000-0010-0000-5200-000001000000}" uniqueName="1">
      <xmlPr mapId="43" xpath="/ns1:Root/ns1:M3/ns1:SRs_Signed" xmlDataType="double"/>
    </xmlCellPr>
  </singleXmlCell>
  <singleXmlCell id="504" xr6:uid="{00000000-000C-0000-FFFF-FFFF53000000}" r="G90" connectionId="0">
    <xmlCellPr id="1" xr6:uid="{00000000-0010-0000-5300-000001000000}" uniqueName="1">
      <xmlPr mapId="43" xpath="/ns1:Root/ns1:M3/ns1:SRs_Receiving_Funding" xmlDataType="double"/>
    </xmlCellPr>
  </singleXmlCell>
  <singleXmlCell id="506" xr6:uid="{00000000-000C-0000-FFFF-FFFF54000000}" r="C95" connectionId="0">
    <xmlCellPr id="1" xr6:uid="{00000000-0010-0000-5400-000001000000}" uniqueName="1">
      <xmlPr mapId="43" xpath="/ns1:Root/ns1:M4/ns1:SSR_to_SR__IR_____Expected" xmlDataType="string"/>
    </xmlCellPr>
  </singleXmlCell>
  <singleXmlCell id="507" xr6:uid="{00000000-000C-0000-FFFF-FFFF55000000}" r="D95" connectionId="0">
    <xmlCellPr id="1" xr6:uid="{00000000-0010-0000-5500-000001000000}" uniqueName="1">
      <xmlPr mapId="43" xpath="/ns1:Root/ns1:M4/ns1:SSR_to_SR__IR____Received" xmlDataType="string"/>
    </xmlCellPr>
  </singleXmlCell>
  <singleXmlCell id="509" xr6:uid="{00000000-000C-0000-FFFF-FFFF56000000}" r="C96" connectionId="0">
    <xmlCellPr id="1" xr6:uid="{00000000-0010-0000-5600-000001000000}" uniqueName="1">
      <xmlPr mapId="43" xpath="/ns1:Root/ns1:M4/ns1:SRs__IRs__to_PR____Expected" xmlDataType="double"/>
    </xmlCellPr>
  </singleXmlCell>
  <singleXmlCell id="510" xr6:uid="{00000000-000C-0000-FFFF-FFFF57000000}" r="D96" connectionId="0">
    <xmlCellPr id="1" xr6:uid="{00000000-0010-0000-5700-000001000000}" uniqueName="1">
      <xmlPr mapId="43" xpath="/ns1:Root/ns1:M4/ns1:SRs__IRs__to_PR___Received" xmlDataType="double"/>
    </xmlCellPr>
  </singleXmlCell>
  <singleXmlCell id="511" xr6:uid="{00000000-000C-0000-FFFF-FFFF58000000}" r="C101" connectionId="0">
    <xmlCellPr id="1" xr6:uid="{00000000-0010-0000-5800-000001000000}" uniqueName="1">
      <xmlPr mapId="43" xpath="/ns1:Root/ns1:M5/ns1:Budget_Approved__P1" xmlDataType="double"/>
    </xmlCellPr>
  </singleXmlCell>
  <singleXmlCell id="512" xr6:uid="{00000000-000C-0000-FFFF-FFFF59000000}" r="D101" connectionId="0">
    <xmlCellPr id="1" xr6:uid="{00000000-0010-0000-5900-000001000000}" uniqueName="1">
      <xmlPr mapId="43" xpath="/ns1:Root/ns1:M5/ns1:Budget_Approved__P2" xmlDataType="double"/>
    </xmlCellPr>
  </singleXmlCell>
  <singleXmlCell id="513" xr6:uid="{00000000-000C-0000-FFFF-FFFF5A000000}" r="E101" connectionId="0">
    <xmlCellPr id="1" xr6:uid="{00000000-0010-0000-5A00-000001000000}" uniqueName="1">
      <xmlPr mapId="43" xpath="/ns1:Root/ns1:M5/ns1:Budget_Approved__P3" xmlDataType="double"/>
    </xmlCellPr>
  </singleXmlCell>
  <singleXmlCell id="514" xr6:uid="{00000000-000C-0000-FFFF-FFFF5B000000}" r="F101" connectionId="0">
    <xmlCellPr id="1" xr6:uid="{00000000-0010-0000-5B00-000001000000}" uniqueName="1">
      <xmlPr mapId="43" xpath="/ns1:Root/ns1:M5/ns1:Budget_Approved__P4" xmlDataType="double"/>
    </xmlCellPr>
  </singleXmlCell>
  <singleXmlCell id="515" xr6:uid="{00000000-000C-0000-FFFF-FFFF5C000000}" r="G101" connectionId="0">
    <xmlCellPr id="1" xr6:uid="{00000000-0010-0000-5C00-000001000000}" uniqueName="1">
      <xmlPr mapId="43" xpath="/ns1:Root/ns1:M5/ns1:Budget_Approved__P5" xmlDataType="double"/>
    </xmlCellPr>
  </singleXmlCell>
  <singleXmlCell id="516" xr6:uid="{00000000-000C-0000-FFFF-FFFF5D000000}" r="H101" connectionId="0">
    <xmlCellPr id="1" xr6:uid="{00000000-0010-0000-5D00-000001000000}" uniqueName="1">
      <xmlPr mapId="43" xpath="/ns1:Root/ns1:M5/ns1:Budget_Approved__P6" xmlDataType="double"/>
    </xmlCellPr>
  </singleXmlCell>
  <singleXmlCell id="517" xr6:uid="{00000000-000C-0000-FFFF-FFFF5E000000}" r="I101" connectionId="0">
    <xmlCellPr id="1" xr6:uid="{00000000-0010-0000-5E00-000001000000}" uniqueName="1">
      <xmlPr mapId="43" xpath="/ns1:Root/ns1:M5/ns1:Budget_Approved__P7" xmlDataType="double"/>
    </xmlCellPr>
  </singleXmlCell>
  <singleXmlCell id="518" xr6:uid="{00000000-000C-0000-FFFF-FFFF5F000000}" r="J101" connectionId="0">
    <xmlCellPr id="1" xr6:uid="{00000000-0010-0000-5F00-000001000000}" uniqueName="1">
      <xmlPr mapId="43" xpath="/ns1:Root/ns1:M5/ns1:Budget_Approved__P8" xmlDataType="double"/>
    </xmlCellPr>
  </singleXmlCell>
  <singleXmlCell id="519" xr6:uid="{00000000-000C-0000-FFFF-FFFF60000000}" r="K101" connectionId="0">
    <xmlCellPr id="1" xr6:uid="{00000000-0010-0000-6000-000001000000}" uniqueName="1">
      <xmlPr mapId="43" xpath="/ns1:Root/ns1:M5/ns1:Budget_Approved__P9" xmlDataType="double"/>
    </xmlCellPr>
  </singleXmlCell>
  <singleXmlCell id="520" xr6:uid="{00000000-000C-0000-FFFF-FFFF61000000}" r="L101" connectionId="0">
    <xmlCellPr id="1" xr6:uid="{00000000-0010-0000-6100-000001000000}" uniqueName="1">
      <xmlPr mapId="43" xpath="/ns1:Root/ns1:M5/ns1:Budget_Approved__P10" xmlDataType="double"/>
    </xmlCellPr>
  </singleXmlCell>
  <singleXmlCell id="521" xr6:uid="{00000000-000C-0000-FFFF-FFFF62000000}" r="M101" connectionId="0">
    <xmlCellPr id="1" xr6:uid="{00000000-0010-0000-6200-000001000000}" uniqueName="1">
      <xmlPr mapId="43" xpath="/ns1:Root/ns1:M5/ns1:Budget_Approved__P11" xmlDataType="double"/>
    </xmlCellPr>
  </singleXmlCell>
  <singleXmlCell id="522" xr6:uid="{00000000-000C-0000-FFFF-FFFF63000000}" r="N101" connectionId="0">
    <xmlCellPr id="1" xr6:uid="{00000000-0010-0000-6300-000001000000}" uniqueName="1">
      <xmlPr mapId="43" xpath="/ns1:Root/ns1:M5/ns1:Budget_Approved__P12" xmlDataType="double"/>
    </xmlCellPr>
  </singleXmlCell>
  <singleXmlCell id="523" xr6:uid="{00000000-000C-0000-FFFF-FFFF64000000}" r="C102" connectionId="0">
    <xmlCellPr id="1" xr6:uid="{00000000-0010-0000-6400-000001000000}" uniqueName="1">
      <xmlPr mapId="43" xpath="/ns1:Root/ns1:M5/ns1:Obligations_P1" xmlDataType="double"/>
    </xmlCellPr>
  </singleXmlCell>
  <singleXmlCell id="524" xr6:uid="{00000000-000C-0000-FFFF-FFFF65000000}" r="D102" connectionId="0">
    <xmlCellPr id="1" xr6:uid="{00000000-0010-0000-6500-000001000000}" uniqueName="1">
      <xmlPr mapId="43" xpath="/ns1:Root/ns1:M5/ns1:Obligations_P2" xmlDataType="double"/>
    </xmlCellPr>
  </singleXmlCell>
  <singleXmlCell id="525" xr6:uid="{00000000-000C-0000-FFFF-FFFF66000000}" r="E102" connectionId="0">
    <xmlCellPr id="1" xr6:uid="{00000000-0010-0000-6600-000001000000}" uniqueName="1">
      <xmlPr mapId="43" xpath="/ns1:Root/ns1:M5/ns1:Obligations_P3" xmlDataType="double"/>
    </xmlCellPr>
  </singleXmlCell>
  <singleXmlCell id="526" xr6:uid="{00000000-000C-0000-FFFF-FFFF67000000}" r="F102" connectionId="0">
    <xmlCellPr id="1" xr6:uid="{00000000-0010-0000-6700-000001000000}" uniqueName="1">
      <xmlPr mapId="43" xpath="/ns1:Root/ns1:M5/ns1:Obligations_P4" xmlDataType="double"/>
    </xmlCellPr>
  </singleXmlCell>
  <singleXmlCell id="527" xr6:uid="{00000000-000C-0000-FFFF-FFFF68000000}" r="G102" connectionId="0">
    <xmlCellPr id="1" xr6:uid="{00000000-0010-0000-6800-000001000000}" uniqueName="1">
      <xmlPr mapId="43" xpath="/ns1:Root/ns1:M5/ns1:Obligations_P5" xmlDataType="double"/>
    </xmlCellPr>
  </singleXmlCell>
  <singleXmlCell id="528" xr6:uid="{00000000-000C-0000-FFFF-FFFF69000000}" r="H102" connectionId="0">
    <xmlCellPr id="1" xr6:uid="{00000000-0010-0000-6900-000001000000}" uniqueName="1">
      <xmlPr mapId="43" xpath="/ns1:Root/ns1:M5/ns1:Obligations_P6" xmlDataType="double"/>
    </xmlCellPr>
  </singleXmlCell>
  <singleXmlCell id="529" xr6:uid="{00000000-000C-0000-FFFF-FFFF6A000000}" r="I102" connectionId="0">
    <xmlCellPr id="1" xr6:uid="{00000000-0010-0000-6A00-000001000000}" uniqueName="1">
      <xmlPr mapId="43" xpath="/ns1:Root/ns1:M5/ns1:Obligations_P7" xmlDataType="double"/>
    </xmlCellPr>
  </singleXmlCell>
  <singleXmlCell id="530" xr6:uid="{00000000-000C-0000-FFFF-FFFF6B000000}" r="J102" connectionId="0">
    <xmlCellPr id="1" xr6:uid="{00000000-0010-0000-6B00-000001000000}" uniqueName="1">
      <xmlPr mapId="43" xpath="/ns1:Root/ns1:M5/ns1:Obligations_P8" xmlDataType="double"/>
    </xmlCellPr>
  </singleXmlCell>
  <singleXmlCell id="531" xr6:uid="{00000000-000C-0000-FFFF-FFFF6C000000}" r="K102" connectionId="0">
    <xmlCellPr id="1" xr6:uid="{00000000-0010-0000-6C00-000001000000}" uniqueName="1">
      <xmlPr mapId="43" xpath="/ns1:Root/ns1:M5/ns1:Obligations_P9" xmlDataType="double"/>
    </xmlCellPr>
  </singleXmlCell>
  <singleXmlCell id="532" xr6:uid="{00000000-000C-0000-FFFF-FFFF6D000000}" r="L102" connectionId="0">
    <xmlCellPr id="1" xr6:uid="{00000000-0010-0000-6D00-000001000000}" uniqueName="1">
      <xmlPr mapId="43" xpath="/ns1:Root/ns1:M5/ns1:Obligations_P10" xmlDataType="double"/>
    </xmlCellPr>
  </singleXmlCell>
  <singleXmlCell id="533" xr6:uid="{00000000-000C-0000-FFFF-FFFF6E000000}" r="M102" connectionId="0">
    <xmlCellPr id="1" xr6:uid="{00000000-0010-0000-6E00-000001000000}" uniqueName="1">
      <xmlPr mapId="43" xpath="/ns1:Root/ns1:M5/ns1:Obligations_P11" xmlDataType="double"/>
    </xmlCellPr>
  </singleXmlCell>
  <singleXmlCell id="534" xr6:uid="{00000000-000C-0000-FFFF-FFFF6F000000}" r="N102" connectionId="0">
    <xmlCellPr id="1" xr6:uid="{00000000-0010-0000-6F00-000001000000}" uniqueName="1">
      <xmlPr mapId="43" xpath="/ns1:Root/ns1:M5/ns1:Obligations_P12" xmlDataType="double"/>
    </xmlCellPr>
  </singleXmlCell>
  <singleXmlCell id="535" xr6:uid="{00000000-000C-0000-FFFF-FFFF70000000}" r="C103" connectionId="0">
    <xmlCellPr id="1" xr6:uid="{00000000-0010-0000-7000-000001000000}" uniqueName="1">
      <xmlPr mapId="43" xpath="/ns1:Root/ns1:M5/ns1:Expenditures_P1" xmlDataType="double"/>
    </xmlCellPr>
  </singleXmlCell>
  <singleXmlCell id="536" xr6:uid="{00000000-000C-0000-FFFF-FFFF71000000}" r="D103" connectionId="0">
    <xmlCellPr id="1" xr6:uid="{00000000-0010-0000-7100-000001000000}" uniqueName="1">
      <xmlPr mapId="43" xpath="/ns1:Root/ns1:M5/ns1:Expenditures_P2" xmlDataType="double"/>
    </xmlCellPr>
  </singleXmlCell>
  <singleXmlCell id="537" xr6:uid="{00000000-000C-0000-FFFF-FFFF72000000}" r="E103" connectionId="0">
    <xmlCellPr id="1" xr6:uid="{00000000-0010-0000-7200-000001000000}" uniqueName="1">
      <xmlPr mapId="43" xpath="/ns1:Root/ns1:M5/ns1:Expenditures_P3" xmlDataType="double"/>
    </xmlCellPr>
  </singleXmlCell>
  <singleXmlCell id="538" xr6:uid="{00000000-000C-0000-FFFF-FFFF73000000}" r="F103" connectionId="0">
    <xmlCellPr id="1" xr6:uid="{00000000-0010-0000-7300-000001000000}" uniqueName="1">
      <xmlPr mapId="43" xpath="/ns1:Root/ns1:M5/ns1:Expenditures_P4" xmlDataType="double"/>
    </xmlCellPr>
  </singleXmlCell>
  <singleXmlCell id="539" xr6:uid="{00000000-000C-0000-FFFF-FFFF74000000}" r="G103" connectionId="0">
    <xmlCellPr id="1" xr6:uid="{00000000-0010-0000-7400-000001000000}" uniqueName="1">
      <xmlPr mapId="43" xpath="/ns1:Root/ns1:M5/ns1:Expenditures_P5" xmlDataType="double"/>
    </xmlCellPr>
  </singleXmlCell>
  <singleXmlCell id="540" xr6:uid="{00000000-000C-0000-FFFF-FFFF75000000}" r="H103" connectionId="0">
    <xmlCellPr id="1" xr6:uid="{00000000-0010-0000-7500-000001000000}" uniqueName="1">
      <xmlPr mapId="43" xpath="/ns1:Root/ns1:M5/ns1:Expenditures_P6" xmlDataType="double"/>
    </xmlCellPr>
  </singleXmlCell>
  <singleXmlCell id="541" xr6:uid="{00000000-000C-0000-FFFF-FFFF76000000}" r="I103" connectionId="0">
    <xmlCellPr id="1" xr6:uid="{00000000-0010-0000-7600-000001000000}" uniqueName="1">
      <xmlPr mapId="43" xpath="/ns1:Root/ns1:M5/ns1:Expenditures_P7" xmlDataType="double"/>
    </xmlCellPr>
  </singleXmlCell>
  <singleXmlCell id="542" xr6:uid="{00000000-000C-0000-FFFF-FFFF77000000}" r="J103" connectionId="0">
    <xmlCellPr id="1" xr6:uid="{00000000-0010-0000-7700-000001000000}" uniqueName="1">
      <xmlPr mapId="43" xpath="/ns1:Root/ns1:M5/ns1:Expenditures_P8" xmlDataType="double"/>
    </xmlCellPr>
  </singleXmlCell>
  <singleXmlCell id="543" xr6:uid="{00000000-000C-0000-FFFF-FFFF78000000}" r="K103" connectionId="0">
    <xmlCellPr id="1" xr6:uid="{00000000-0010-0000-7800-000001000000}" uniqueName="1">
      <xmlPr mapId="43" xpath="/ns1:Root/ns1:M5/ns1:Expenditures_P9" xmlDataType="double"/>
    </xmlCellPr>
  </singleXmlCell>
  <singleXmlCell id="544" xr6:uid="{00000000-000C-0000-FFFF-FFFF79000000}" r="L103" connectionId="0">
    <xmlCellPr id="1" xr6:uid="{00000000-0010-0000-7900-000001000000}" uniqueName="1">
      <xmlPr mapId="43" xpath="/ns1:Root/ns1:M5/ns1:Expenditures_P10" xmlDataType="double"/>
    </xmlCellPr>
  </singleXmlCell>
  <singleXmlCell id="545" xr6:uid="{00000000-000C-0000-FFFF-FFFF7A000000}" r="M103" connectionId="0">
    <xmlCellPr id="1" xr6:uid="{00000000-0010-0000-7A00-000001000000}" uniqueName="1">
      <xmlPr mapId="43" xpath="/ns1:Root/ns1:M5/ns1:Expenditures_P11" xmlDataType="double"/>
    </xmlCellPr>
  </singleXmlCell>
  <singleXmlCell id="546" xr6:uid="{00000000-000C-0000-FFFF-FFFF7B000000}" r="N103" connectionId="0">
    <xmlCellPr id="1" xr6:uid="{00000000-0010-0000-7B00-000001000000}" uniqueName="1">
      <xmlPr mapId="43" xpath="/ns1:Root/ns1:M5/ns1:Expenditures_P12" xmlDataType="double"/>
    </xmlCellPr>
  </singleXmlCell>
  <singleXmlCell id="547" xr6:uid="{00000000-000C-0000-FFFF-FFFF7C000000}" r="C114" connectionId="0">
    <xmlCellPr id="1" xr6:uid="{00000000-0010-0000-7C00-000001000000}" uniqueName="1">
      <xmlPr mapId="43" xpath="/ns1:Root/ns1:M6/ns1:HIV___AIDS_Products" xmlDataType="string"/>
    </xmlCellPr>
  </singleXmlCell>
  <singleXmlCell id="548" xr6:uid="{00000000-000C-0000-FFFF-FFFF7D000000}" r="D114"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4" connectionId="0">
    <xmlCellPr id="1" xr6:uid="{00000000-0010-0000-7E00-000001000000}" uniqueName="1">
      <xmlPr mapId="43" xpath="/ns1:Root/ns1:M6/ns1:HIV___AIDS__3__Total_patients_in_treatment" xmlDataType="double"/>
    </xmlCellPr>
  </singleXmlCell>
  <singleXmlCell id="550" xr6:uid="{00000000-000C-0000-FFFF-FFFF7F000000}" r="H114"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4"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5" connectionId="0">
    <xmlCellPr id="1" xr6:uid="{00000000-0010-0000-8100-000001000000}" uniqueName="1">
      <xmlPr mapId="43" xpath="/ns1:Root/ns1:M6/ns1:_Products_1" xmlDataType="string"/>
    </xmlCellPr>
  </singleXmlCell>
  <singleXmlCell id="553" xr6:uid="{00000000-000C-0000-FFFF-FFFF82000000}" r="D115"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5" connectionId="0">
    <xmlCellPr id="1" xr6:uid="{00000000-0010-0000-8300-000001000000}" uniqueName="1">
      <xmlPr mapId="43" xpath="/ns1:Root/ns1:M6/ns1:__3__Total_patients_in_treatment_1" xmlDataType="double"/>
    </xmlCellPr>
  </singleXmlCell>
  <singleXmlCell id="555" xr6:uid="{00000000-000C-0000-FFFF-FFFF84000000}" r="H115"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5"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6" connectionId="0">
    <xmlCellPr id="1" xr6:uid="{00000000-0010-0000-8600-000001000000}" uniqueName="1">
      <xmlPr mapId="43" xpath="/ns1:Root/ns1:M6/ns1:_Products_2" xmlDataType="string"/>
    </xmlCellPr>
  </singleXmlCell>
  <singleXmlCell id="558" xr6:uid="{00000000-000C-0000-FFFF-FFFF87000000}" r="D116"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6" connectionId="0">
    <xmlCellPr id="1" xr6:uid="{00000000-0010-0000-8800-000001000000}" uniqueName="1">
      <xmlPr mapId="43" xpath="/ns1:Root/ns1:M6/ns1:__3__Total_patients_in_treatment_2" xmlDataType="double"/>
    </xmlCellPr>
  </singleXmlCell>
  <singleXmlCell id="560" xr6:uid="{00000000-000C-0000-FFFF-FFFF89000000}" r="H116"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6"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7" connectionId="0">
    <xmlCellPr id="1" xr6:uid="{00000000-0010-0000-8B00-000001000000}" uniqueName="1">
      <xmlPr mapId="43" xpath="/ns1:Root/ns1:M6/ns1:_Products" xmlDataType="string"/>
    </xmlCellPr>
  </singleXmlCell>
  <singleXmlCell id="563" xr6:uid="{00000000-000C-0000-FFFF-FFFF8C000000}" r="D117"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7" connectionId="0">
    <xmlCellPr id="1" xr6:uid="{00000000-0010-0000-8D00-000001000000}" uniqueName="1">
      <xmlPr mapId="43" xpath="/ns1:Root/ns1:M6/ns1:__3__Total_patients_in_treatment" xmlDataType="double"/>
    </xmlCellPr>
  </singleXmlCell>
  <singleXmlCell id="565" xr6:uid="{00000000-000C-0000-FFFF-FFFF8E000000}" r="H117"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7"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23" connectionId="0">
    <xmlCellPr id="1" xr6:uid="{00000000-0010-0000-9000-000001000000}" uniqueName="1">
      <xmlPr mapId="43" xpath="/ns1:Root/ns1:Prog/ns1:Target_P1_1" xmlDataType="double"/>
    </xmlCellPr>
  </singleXmlCell>
  <singleXmlCell id="568" xr6:uid="{00000000-000C-0000-FFFF-FFFF91000000}" r="I123" connectionId="0">
    <xmlCellPr id="1" xr6:uid="{00000000-0010-0000-9100-000001000000}" uniqueName="1">
      <xmlPr mapId="43" xpath="/ns1:Root/ns1:Prog/ns1:Target_P2_1" xmlDataType="double"/>
    </xmlCellPr>
  </singleXmlCell>
  <singleXmlCell id="569" xr6:uid="{00000000-000C-0000-FFFF-FFFF92000000}" r="J123" connectionId="0">
    <xmlCellPr id="1" xr6:uid="{00000000-0010-0000-9200-000001000000}" uniqueName="1">
      <xmlPr mapId="43" xpath="/ns1:Root/ns1:Prog/ns1:Target_P3_1" xmlDataType="double"/>
    </xmlCellPr>
  </singleXmlCell>
  <singleXmlCell id="570" xr6:uid="{00000000-000C-0000-FFFF-FFFF93000000}" r="K123" connectionId="0">
    <xmlCellPr id="1" xr6:uid="{00000000-0010-0000-9300-000001000000}" uniqueName="1">
      <xmlPr mapId="43" xpath="/ns1:Root/ns1:Prog/ns1:Target_P4_1" xmlDataType="double"/>
    </xmlCellPr>
  </singleXmlCell>
  <singleXmlCell id="571" xr6:uid="{00000000-000C-0000-FFFF-FFFF94000000}" r="L123" connectionId="0">
    <xmlCellPr id="1" xr6:uid="{00000000-0010-0000-9400-000001000000}" uniqueName="1">
      <xmlPr mapId="43" xpath="/ns1:Root/ns1:Prog/ns1:Target_P5_1" xmlDataType="double"/>
    </xmlCellPr>
  </singleXmlCell>
  <singleXmlCell id="572" xr6:uid="{00000000-000C-0000-FFFF-FFFF95000000}" r="M123" connectionId="0">
    <xmlCellPr id="1" xr6:uid="{00000000-0010-0000-9500-000001000000}" uniqueName="1">
      <xmlPr mapId="43" xpath="/ns1:Root/ns1:Prog/ns1:Target_P6_1" xmlDataType="double"/>
    </xmlCellPr>
  </singleXmlCell>
  <singleXmlCell id="573" xr6:uid="{00000000-000C-0000-FFFF-FFFF96000000}" r="N123" connectionId="0">
    <xmlCellPr id="1" xr6:uid="{00000000-0010-0000-9600-000001000000}" uniqueName="1">
      <xmlPr mapId="43" xpath="/ns1:Root/ns1:Prog/ns1:Target_P7_1" xmlDataType="double"/>
    </xmlCellPr>
  </singleXmlCell>
  <singleXmlCell id="574" xr6:uid="{00000000-000C-0000-FFFF-FFFF97000000}" r="O123" connectionId="0">
    <xmlCellPr id="1" xr6:uid="{00000000-0010-0000-9700-000001000000}" uniqueName="1">
      <xmlPr mapId="43" xpath="/ns1:Root/ns1:Prog/ns1:Target_P8_1" xmlDataType="double"/>
    </xmlCellPr>
  </singleXmlCell>
  <singleXmlCell id="575" xr6:uid="{00000000-000C-0000-FFFF-FFFF98000000}" r="P123" connectionId="0">
    <xmlCellPr id="1" xr6:uid="{00000000-0010-0000-9800-000001000000}" uniqueName="1">
      <xmlPr mapId="43" xpath="/ns1:Root/ns1:Prog/ns1:Target_P9_1" xmlDataType="double"/>
    </xmlCellPr>
  </singleXmlCell>
  <singleXmlCell id="576" xr6:uid="{00000000-000C-0000-FFFF-FFFF99000000}" r="Q123" connectionId="0">
    <xmlCellPr id="1" xr6:uid="{00000000-0010-0000-9900-000001000000}" uniqueName="1">
      <xmlPr mapId="43" xpath="/ns1:Root/ns1:Prog/ns1:Target_P10_1" xmlDataType="double"/>
    </xmlCellPr>
  </singleXmlCell>
  <singleXmlCell id="577" xr6:uid="{00000000-000C-0000-FFFF-FFFF9A000000}" r="R123" connectionId="0">
    <xmlCellPr id="1" xr6:uid="{00000000-0010-0000-9A00-000001000000}" uniqueName="1">
      <xmlPr mapId="43" xpath="/ns1:Root/ns1:Prog/ns1:Target_P11_1" xmlDataType="double"/>
    </xmlCellPr>
  </singleXmlCell>
  <singleXmlCell id="578" xr6:uid="{00000000-000C-0000-FFFF-FFFF9B000000}" r="S123" connectionId="0">
    <xmlCellPr id="1" xr6:uid="{00000000-0010-0000-9B00-000001000000}" uniqueName="1">
      <xmlPr mapId="43" xpath="/ns1:Root/ns1:Prog/ns1:Target_P12_1" xmlDataType="double"/>
    </xmlCellPr>
  </singleXmlCell>
  <singleXmlCell id="579" xr6:uid="{00000000-000C-0000-FFFF-FFFF9C000000}" r="H124" connectionId="0">
    <xmlCellPr id="1" xr6:uid="{00000000-0010-0000-9C00-000001000000}" uniqueName="1">
      <xmlPr mapId="43" xpath="/ns1:Root/ns1:Prog/ns1:Achieved__P1_1" xmlDataType="double"/>
    </xmlCellPr>
  </singleXmlCell>
  <singleXmlCell id="580" xr6:uid="{00000000-000C-0000-FFFF-FFFF9D000000}" r="I124" connectionId="0">
    <xmlCellPr id="1" xr6:uid="{00000000-0010-0000-9D00-000001000000}" uniqueName="1">
      <xmlPr mapId="43" xpath="/ns1:Root/ns1:Prog/ns1:Achieved__P2_1" xmlDataType="double"/>
    </xmlCellPr>
  </singleXmlCell>
  <singleXmlCell id="581" xr6:uid="{00000000-000C-0000-FFFF-FFFF9E000000}" r="J124" connectionId="0">
    <xmlCellPr id="1" xr6:uid="{00000000-0010-0000-9E00-000001000000}" uniqueName="1">
      <xmlPr mapId="43" xpath="/ns1:Root/ns1:Prog/ns1:Achieved__P3_1" xmlDataType="double"/>
    </xmlCellPr>
  </singleXmlCell>
  <singleXmlCell id="582" xr6:uid="{00000000-000C-0000-FFFF-FFFF9F000000}" r="K124" connectionId="0">
    <xmlCellPr id="1" xr6:uid="{00000000-0010-0000-9F00-000001000000}" uniqueName="1">
      <xmlPr mapId="43" xpath="/ns1:Root/ns1:Prog/ns1:Achieved__P4_1" xmlDataType="double"/>
    </xmlCellPr>
  </singleXmlCell>
  <singleXmlCell id="583" xr6:uid="{00000000-000C-0000-FFFF-FFFFA0000000}" r="L124" connectionId="0">
    <xmlCellPr id="1" xr6:uid="{00000000-0010-0000-A000-000001000000}" uniqueName="1">
      <xmlPr mapId="43" xpath="/ns1:Root/ns1:Prog/ns1:Achieved__P5_1" xmlDataType="string"/>
    </xmlCellPr>
  </singleXmlCell>
  <singleXmlCell id="584" xr6:uid="{00000000-000C-0000-FFFF-FFFFA1000000}" r="M124" connectionId="0">
    <xmlCellPr id="1" xr6:uid="{00000000-0010-0000-A100-000001000000}" uniqueName="1">
      <xmlPr mapId="43" xpath="/ns1:Root/ns1:Prog/ns1:Achieved__P6_1" xmlDataType="string"/>
    </xmlCellPr>
  </singleXmlCell>
  <singleXmlCell id="585" xr6:uid="{00000000-000C-0000-FFFF-FFFFA2000000}" r="N124" connectionId="0">
    <xmlCellPr id="1" xr6:uid="{00000000-0010-0000-A200-000001000000}" uniqueName="1">
      <xmlPr mapId="43" xpath="/ns1:Root/ns1:Prog/ns1:Achieved__P7_1" xmlDataType="string"/>
    </xmlCellPr>
  </singleXmlCell>
  <singleXmlCell id="586" xr6:uid="{00000000-000C-0000-FFFF-FFFFA3000000}" r="O124" connectionId="0">
    <xmlCellPr id="1" xr6:uid="{00000000-0010-0000-A300-000001000000}" uniqueName="1">
      <xmlPr mapId="43" xpath="/ns1:Root/ns1:Prog/ns1:Achieved__P8_1" xmlDataType="string"/>
    </xmlCellPr>
  </singleXmlCell>
  <singleXmlCell id="587" xr6:uid="{00000000-000C-0000-FFFF-FFFFA4000000}" r="P124" connectionId="0">
    <xmlCellPr id="1" xr6:uid="{00000000-0010-0000-A400-000001000000}" uniqueName="1">
      <xmlPr mapId="43" xpath="/ns1:Root/ns1:Prog/ns1:Achieved__P9_1" xmlDataType="string"/>
    </xmlCellPr>
  </singleXmlCell>
  <singleXmlCell id="588" xr6:uid="{00000000-000C-0000-FFFF-FFFFA5000000}" r="Q124" connectionId="0">
    <xmlCellPr id="1" xr6:uid="{00000000-0010-0000-A500-000001000000}" uniqueName="1">
      <xmlPr mapId="43" xpath="/ns1:Root/ns1:Prog/ns1:Achieved__P10_1" xmlDataType="string"/>
    </xmlCellPr>
  </singleXmlCell>
  <singleXmlCell id="589" xr6:uid="{00000000-000C-0000-FFFF-FFFFA6000000}" r="R124" connectionId="0">
    <xmlCellPr id="1" xr6:uid="{00000000-0010-0000-A600-000001000000}" uniqueName="1">
      <xmlPr mapId="43" xpath="/ns1:Root/ns1:Prog/ns1:Achieved__P11_1" xmlDataType="string"/>
    </xmlCellPr>
  </singleXmlCell>
  <singleXmlCell id="590" xr6:uid="{00000000-000C-0000-FFFF-FFFFA7000000}" r="S124" connectionId="0">
    <xmlCellPr id="1" xr6:uid="{00000000-0010-0000-A700-000001000000}" uniqueName="1">
      <xmlPr mapId="43" xpath="/ns1:Root/ns1:Prog/ns1:Achieved__P12_1" xmlDataType="string"/>
    </xmlCellPr>
  </singleXmlCell>
  <singleXmlCell id="599" xr6:uid="{00000000-000C-0000-FFFF-FFFFA8000000}" r="Q125" connectionId="0">
    <xmlCellPr id="1" xr6:uid="{00000000-0010-0000-A800-000001000000}" uniqueName="1">
      <xmlPr mapId="43" xpath="/ns1:Root/ns1:Prog/ns1:Target_P10_2" xmlDataType="double"/>
    </xmlCellPr>
  </singleXmlCell>
  <singleXmlCell id="600" xr6:uid="{00000000-000C-0000-FFFF-FFFFA9000000}" r="R125" connectionId="0">
    <xmlCellPr id="1" xr6:uid="{00000000-0010-0000-A900-000001000000}" uniqueName="1">
      <xmlPr mapId="43" xpath="/ns1:Root/ns1:Prog/ns1:Target_P11_2" xmlDataType="double"/>
    </xmlCellPr>
  </singleXmlCell>
  <singleXmlCell id="601" xr6:uid="{00000000-000C-0000-FFFF-FFFFAA000000}" r="S125" connectionId="0">
    <xmlCellPr id="1" xr6:uid="{00000000-0010-0000-AA00-000001000000}" uniqueName="1">
      <xmlPr mapId="43" xpath="/ns1:Root/ns1:Prog/ns1:Target_P12_2" xmlDataType="double"/>
    </xmlCellPr>
  </singleXmlCell>
  <singleXmlCell id="611" xr6:uid="{00000000-000C-0000-FFFF-FFFFAB000000}" r="Q126" connectionId="0">
    <xmlCellPr id="1" xr6:uid="{00000000-0010-0000-AB00-000001000000}" uniqueName="1">
      <xmlPr mapId="43" xpath="/ns1:Root/ns1:Prog/ns1:Achieved__P10_2" xmlDataType="string"/>
    </xmlCellPr>
  </singleXmlCell>
  <singleXmlCell id="612" xr6:uid="{00000000-000C-0000-FFFF-FFFFAC000000}" r="R126" connectionId="0">
    <xmlCellPr id="1" xr6:uid="{00000000-0010-0000-AC00-000001000000}" uniqueName="1">
      <xmlPr mapId="43" xpath="/ns1:Root/ns1:Prog/ns1:Achieved__P11_2" xmlDataType="string"/>
    </xmlCellPr>
  </singleXmlCell>
  <singleXmlCell id="613" xr6:uid="{00000000-000C-0000-FFFF-FFFFAD000000}" r="S126" connectionId="0">
    <xmlCellPr id="1" xr6:uid="{00000000-0010-0000-AD00-000001000000}" uniqueName="1">
      <xmlPr mapId="43" xpath="/ns1:Root/ns1:Prog/ns1:Achieved__P12_2" xmlDataType="string"/>
    </xmlCellPr>
  </singleXmlCell>
  <singleXmlCell id="662" xr6:uid="{00000000-000C-0000-FFFF-FFFFAE000000}" r="H129" connectionId="0">
    <xmlCellPr id="1" xr6:uid="{00000000-0010-0000-AE00-000001000000}" uniqueName="1">
      <xmlPr mapId="43" xpath="/ns1:Root/ns1:Prog/ns1:Target_P1_5" xmlDataType="double"/>
    </xmlCellPr>
  </singleXmlCell>
  <singleXmlCell id="663" xr6:uid="{00000000-000C-0000-FFFF-FFFFAF000000}" r="I129" connectionId="0">
    <xmlCellPr id="1" xr6:uid="{00000000-0010-0000-AF00-000001000000}" uniqueName="1">
      <xmlPr mapId="43" xpath="/ns1:Root/ns1:Prog/ns1:Target_P2_5" xmlDataType="double"/>
    </xmlCellPr>
  </singleXmlCell>
  <singleXmlCell id="664" xr6:uid="{00000000-000C-0000-FFFF-FFFFB0000000}" r="J129" connectionId="0">
    <xmlCellPr id="1" xr6:uid="{00000000-0010-0000-B000-000001000000}" uniqueName="1">
      <xmlPr mapId="43" xpath="/ns1:Root/ns1:Prog/ns1:Target_P3_5" xmlDataType="double"/>
    </xmlCellPr>
  </singleXmlCell>
  <singleXmlCell id="665" xr6:uid="{00000000-000C-0000-FFFF-FFFFB1000000}" r="K129" connectionId="0">
    <xmlCellPr id="1" xr6:uid="{00000000-0010-0000-B100-000001000000}" uniqueName="1">
      <xmlPr mapId="43" xpath="/ns1:Root/ns1:Prog/ns1:Target_P4_5" xmlDataType="double"/>
    </xmlCellPr>
  </singleXmlCell>
  <singleXmlCell id="666" xr6:uid="{00000000-000C-0000-FFFF-FFFFB2000000}" r="L129" connectionId="0">
    <xmlCellPr id="1" xr6:uid="{00000000-0010-0000-B200-000001000000}" uniqueName="1">
      <xmlPr mapId="43" xpath="/ns1:Root/ns1:Prog/ns1:Target_P5_5" xmlDataType="double"/>
    </xmlCellPr>
  </singleXmlCell>
  <singleXmlCell id="667" xr6:uid="{00000000-000C-0000-FFFF-FFFFB3000000}" r="M129" connectionId="0">
    <xmlCellPr id="1" xr6:uid="{00000000-0010-0000-B300-000001000000}" uniqueName="1">
      <xmlPr mapId="43" xpath="/ns1:Root/ns1:Prog/ns1:Target_P6_5" xmlDataType="double"/>
    </xmlCellPr>
  </singleXmlCell>
  <singleXmlCell id="668" xr6:uid="{00000000-000C-0000-FFFF-FFFFB4000000}" r="N129" connectionId="0">
    <xmlCellPr id="1" xr6:uid="{00000000-0010-0000-B400-000001000000}" uniqueName="1">
      <xmlPr mapId="43" xpath="/ns1:Root/ns1:Prog/ns1:Target_P7_5" xmlDataType="double"/>
    </xmlCellPr>
  </singleXmlCell>
  <singleXmlCell id="669" xr6:uid="{00000000-000C-0000-FFFF-FFFFB5000000}" r="O129" connectionId="0">
    <xmlCellPr id="1" xr6:uid="{00000000-0010-0000-B500-000001000000}" uniqueName="1">
      <xmlPr mapId="43" xpath="/ns1:Root/ns1:Prog/ns1:Target_P8_5" xmlDataType="double"/>
    </xmlCellPr>
  </singleXmlCell>
  <singleXmlCell id="670" xr6:uid="{00000000-000C-0000-FFFF-FFFFB6000000}" r="P129" connectionId="0">
    <xmlCellPr id="1" xr6:uid="{00000000-0010-0000-B600-000001000000}" uniqueName="1">
      <xmlPr mapId="43" xpath="/ns1:Root/ns1:Prog/ns1:Target_P9_5" xmlDataType="double"/>
    </xmlCellPr>
  </singleXmlCell>
  <singleXmlCell id="671" xr6:uid="{00000000-000C-0000-FFFF-FFFFB7000000}" r="Q129" connectionId="0">
    <xmlCellPr id="1" xr6:uid="{00000000-0010-0000-B700-000001000000}" uniqueName="1">
      <xmlPr mapId="43" xpath="/ns1:Root/ns1:Prog/ns1:Target_P10_5" xmlDataType="double"/>
    </xmlCellPr>
  </singleXmlCell>
  <singleXmlCell id="672" xr6:uid="{00000000-000C-0000-FFFF-FFFFB8000000}" r="R129" connectionId="0">
    <xmlCellPr id="1" xr6:uid="{00000000-0010-0000-B800-000001000000}" uniqueName="1">
      <xmlPr mapId="43" xpath="/ns1:Root/ns1:Prog/ns1:Target_P11_5" xmlDataType="double"/>
    </xmlCellPr>
  </singleXmlCell>
  <singleXmlCell id="673" xr6:uid="{00000000-000C-0000-FFFF-FFFFB9000000}" r="S129" connectionId="0">
    <xmlCellPr id="1" xr6:uid="{00000000-0010-0000-B900-000001000000}" uniqueName="1">
      <xmlPr mapId="43" xpath="/ns1:Root/ns1:Prog/ns1:Target_P12_5" xmlDataType="double"/>
    </xmlCellPr>
  </singleXmlCell>
  <singleXmlCell id="674" xr6:uid="{00000000-000C-0000-FFFF-FFFFBA000000}" r="H130" connectionId="0">
    <xmlCellPr id="1" xr6:uid="{00000000-0010-0000-BA00-000001000000}" uniqueName="1">
      <xmlPr mapId="43" xpath="/ns1:Root/ns1:Prog/ns1:Achieved__P1_5" xmlDataType="double"/>
    </xmlCellPr>
  </singleXmlCell>
  <singleXmlCell id="675" xr6:uid="{00000000-000C-0000-FFFF-FFFFBB000000}" r="I130" connectionId="0">
    <xmlCellPr id="1" xr6:uid="{00000000-0010-0000-BB00-000001000000}" uniqueName="1">
      <xmlPr mapId="43" xpath="/ns1:Root/ns1:Prog/ns1:Achieved__P2_5" xmlDataType="double"/>
    </xmlCellPr>
  </singleXmlCell>
  <singleXmlCell id="676" xr6:uid="{00000000-000C-0000-FFFF-FFFFBC000000}" r="J130" connectionId="0">
    <xmlCellPr id="1" xr6:uid="{00000000-0010-0000-BC00-000001000000}" uniqueName="1">
      <xmlPr mapId="43" xpath="/ns1:Root/ns1:Prog/ns1:Achieved__P3_5" xmlDataType="double"/>
    </xmlCellPr>
  </singleXmlCell>
  <singleXmlCell id="677" xr6:uid="{00000000-000C-0000-FFFF-FFFFBD000000}" r="K130" connectionId="0">
    <xmlCellPr id="1" xr6:uid="{00000000-0010-0000-BD00-000001000000}" uniqueName="1">
      <xmlPr mapId="43" xpath="/ns1:Root/ns1:Prog/ns1:Achieved__P4_5" xmlDataType="double"/>
    </xmlCellPr>
  </singleXmlCell>
  <singleXmlCell id="678" xr6:uid="{00000000-000C-0000-FFFF-FFFFBE000000}" r="L130" connectionId="0">
    <xmlCellPr id="1" xr6:uid="{00000000-0010-0000-BE00-000001000000}" uniqueName="1">
      <xmlPr mapId="43" xpath="/ns1:Root/ns1:Prog/ns1:Achieved__P5_5" xmlDataType="string"/>
    </xmlCellPr>
  </singleXmlCell>
  <singleXmlCell id="679" xr6:uid="{00000000-000C-0000-FFFF-FFFFBF000000}" r="M130" connectionId="0">
    <xmlCellPr id="1" xr6:uid="{00000000-0010-0000-BF00-000001000000}" uniqueName="1">
      <xmlPr mapId="43" xpath="/ns1:Root/ns1:Prog/ns1:Achieved__P6_5" xmlDataType="string"/>
    </xmlCellPr>
  </singleXmlCell>
  <singleXmlCell id="680" xr6:uid="{00000000-000C-0000-FFFF-FFFFC0000000}" r="N130" connectionId="0">
    <xmlCellPr id="1" xr6:uid="{00000000-0010-0000-C000-000001000000}" uniqueName="1">
      <xmlPr mapId="43" xpath="/ns1:Root/ns1:Prog/ns1:Achieved__P7_5" xmlDataType="string"/>
    </xmlCellPr>
  </singleXmlCell>
  <singleXmlCell id="681" xr6:uid="{00000000-000C-0000-FFFF-FFFFC1000000}" r="O130" connectionId="0">
    <xmlCellPr id="1" xr6:uid="{00000000-0010-0000-C100-000001000000}" uniqueName="1">
      <xmlPr mapId="43" xpath="/ns1:Root/ns1:Prog/ns1:Achieved__P8_5" xmlDataType="string"/>
    </xmlCellPr>
  </singleXmlCell>
  <singleXmlCell id="682" xr6:uid="{00000000-000C-0000-FFFF-FFFFC2000000}" r="P130" connectionId="0">
    <xmlCellPr id="1" xr6:uid="{00000000-0010-0000-C200-000001000000}" uniqueName="1">
      <xmlPr mapId="43" xpath="/ns1:Root/ns1:Prog/ns1:Achieved__P9_5" xmlDataType="string"/>
    </xmlCellPr>
  </singleXmlCell>
  <singleXmlCell id="683" xr6:uid="{00000000-000C-0000-FFFF-FFFFC3000000}" r="Q130" connectionId="0">
    <xmlCellPr id="1" xr6:uid="{00000000-0010-0000-C300-000001000000}" uniqueName="1">
      <xmlPr mapId="43" xpath="/ns1:Root/ns1:Prog/ns1:Achieved__P10_5" xmlDataType="string"/>
    </xmlCellPr>
  </singleXmlCell>
  <singleXmlCell id="684" xr6:uid="{00000000-000C-0000-FFFF-FFFFC4000000}" r="R130" connectionId="0">
    <xmlCellPr id="1" xr6:uid="{00000000-0010-0000-C400-000001000000}" uniqueName="1">
      <xmlPr mapId="43" xpath="/ns1:Root/ns1:Prog/ns1:Achieved__P11_5" xmlDataType="string"/>
    </xmlCellPr>
  </singleXmlCell>
  <singleXmlCell id="685" xr6:uid="{00000000-000C-0000-FFFF-FFFFC5000000}" r="S130" connectionId="0">
    <xmlCellPr id="1" xr6:uid="{00000000-0010-0000-C500-000001000000}" uniqueName="1">
      <xmlPr mapId="43" xpath="/ns1:Root/ns1:Prog/ns1:Achieved__P12_5" xmlDataType="string"/>
    </xmlCellPr>
  </singleXmlCell>
  <singleXmlCell id="686" xr6:uid="{00000000-000C-0000-FFFF-FFFFC6000000}" r="H131" connectionId="0">
    <xmlCellPr id="1" xr6:uid="{00000000-0010-0000-C600-000001000000}" uniqueName="1">
      <xmlPr mapId="43" xpath="/ns1:Root/ns1:Prog/ns1:Target_P1_6" xmlDataType="double"/>
    </xmlCellPr>
  </singleXmlCell>
  <singleXmlCell id="687" xr6:uid="{00000000-000C-0000-FFFF-FFFFC7000000}" r="I131" connectionId="0">
    <xmlCellPr id="1" xr6:uid="{00000000-0010-0000-C700-000001000000}" uniqueName="1">
      <xmlPr mapId="43" xpath="/ns1:Root/ns1:Prog/ns1:Target_P2_6" xmlDataType="double"/>
    </xmlCellPr>
  </singleXmlCell>
  <singleXmlCell id="688" xr6:uid="{00000000-000C-0000-FFFF-FFFFC8000000}" r="J131" connectionId="0">
    <xmlCellPr id="1" xr6:uid="{00000000-0010-0000-C800-000001000000}" uniqueName="1">
      <xmlPr mapId="43" xpath="/ns1:Root/ns1:Prog/ns1:Target_P3_6" xmlDataType="double"/>
    </xmlCellPr>
  </singleXmlCell>
  <singleXmlCell id="689" xr6:uid="{00000000-000C-0000-FFFF-FFFFC9000000}" r="K131" connectionId="0">
    <xmlCellPr id="1" xr6:uid="{00000000-0010-0000-C900-000001000000}" uniqueName="1">
      <xmlPr mapId="43" xpath="/ns1:Root/ns1:Prog/ns1:Target_P4_6" xmlDataType="double"/>
    </xmlCellPr>
  </singleXmlCell>
  <singleXmlCell id="690" xr6:uid="{00000000-000C-0000-FFFF-FFFFCA000000}" r="L131" connectionId="0">
    <xmlCellPr id="1" xr6:uid="{00000000-0010-0000-CA00-000001000000}" uniqueName="1">
      <xmlPr mapId="43" xpath="/ns1:Root/ns1:Prog/ns1:Target_P5_6" xmlDataType="double"/>
    </xmlCellPr>
  </singleXmlCell>
  <singleXmlCell id="691" xr6:uid="{00000000-000C-0000-FFFF-FFFFCB000000}" r="M131" connectionId="0">
    <xmlCellPr id="1" xr6:uid="{00000000-0010-0000-CB00-000001000000}" uniqueName="1">
      <xmlPr mapId="43" xpath="/ns1:Root/ns1:Prog/ns1:Target_P6_6" xmlDataType="double"/>
    </xmlCellPr>
  </singleXmlCell>
  <singleXmlCell id="692" xr6:uid="{00000000-000C-0000-FFFF-FFFFCC000000}" r="N131" connectionId="0">
    <xmlCellPr id="1" xr6:uid="{00000000-0010-0000-CC00-000001000000}" uniqueName="1">
      <xmlPr mapId="43" xpath="/ns1:Root/ns1:Prog/ns1:Target_P7_6" xmlDataType="double"/>
    </xmlCellPr>
  </singleXmlCell>
  <singleXmlCell id="693" xr6:uid="{00000000-000C-0000-FFFF-FFFFCD000000}" r="O131" connectionId="0">
    <xmlCellPr id="1" xr6:uid="{00000000-0010-0000-CD00-000001000000}" uniqueName="1">
      <xmlPr mapId="43" xpath="/ns1:Root/ns1:Prog/ns1:Target_P8_6" xmlDataType="double"/>
    </xmlCellPr>
  </singleXmlCell>
  <singleXmlCell id="694" xr6:uid="{00000000-000C-0000-FFFF-FFFFCE000000}" r="P131" connectionId="0">
    <xmlCellPr id="1" xr6:uid="{00000000-0010-0000-CE00-000001000000}" uniqueName="1">
      <xmlPr mapId="43" xpath="/ns1:Root/ns1:Prog/ns1:Target_P9_6" xmlDataType="double"/>
    </xmlCellPr>
  </singleXmlCell>
  <singleXmlCell id="695" xr6:uid="{00000000-000C-0000-FFFF-FFFFCF000000}" r="Q131" connectionId="0">
    <xmlCellPr id="1" xr6:uid="{00000000-0010-0000-CF00-000001000000}" uniqueName="1">
      <xmlPr mapId="43" xpath="/ns1:Root/ns1:Prog/ns1:Target_P10_6" xmlDataType="double"/>
    </xmlCellPr>
  </singleXmlCell>
  <singleXmlCell id="696" xr6:uid="{00000000-000C-0000-FFFF-FFFFD0000000}" r="R131" connectionId="0">
    <xmlCellPr id="1" xr6:uid="{00000000-0010-0000-D000-000001000000}" uniqueName="1">
      <xmlPr mapId="43" xpath="/ns1:Root/ns1:Prog/ns1:Target_P11_6" xmlDataType="double"/>
    </xmlCellPr>
  </singleXmlCell>
  <singleXmlCell id="697" xr6:uid="{00000000-000C-0000-FFFF-FFFFD1000000}" r="S131" connectionId="0">
    <xmlCellPr id="1" xr6:uid="{00000000-0010-0000-D100-000001000000}" uniqueName="1">
      <xmlPr mapId="43" xpath="/ns1:Root/ns1:Prog/ns1:Target_P12_6" xmlDataType="double"/>
    </xmlCellPr>
  </singleXmlCell>
  <singleXmlCell id="698" xr6:uid="{00000000-000C-0000-FFFF-FFFFD2000000}" r="H132" connectionId="0">
    <xmlCellPr id="1" xr6:uid="{00000000-0010-0000-D200-000001000000}" uniqueName="1">
      <xmlPr mapId="43" xpath="/ns1:Root/ns1:Prog/ns1:Achieved__P1_6" xmlDataType="double"/>
    </xmlCellPr>
  </singleXmlCell>
  <singleXmlCell id="699" xr6:uid="{00000000-000C-0000-FFFF-FFFFD3000000}" r="I132" connectionId="0">
    <xmlCellPr id="1" xr6:uid="{00000000-0010-0000-D300-000001000000}" uniqueName="1">
      <xmlPr mapId="43" xpath="/ns1:Root/ns1:Prog/ns1:Achieved__P2_6" xmlDataType="double"/>
    </xmlCellPr>
  </singleXmlCell>
  <singleXmlCell id="700" xr6:uid="{00000000-000C-0000-FFFF-FFFFD4000000}" r="J132" connectionId="0">
    <xmlCellPr id="1" xr6:uid="{00000000-0010-0000-D400-000001000000}" uniqueName="1">
      <xmlPr mapId="43" xpath="/ns1:Root/ns1:Prog/ns1:Achieved__P3_6" xmlDataType="double"/>
    </xmlCellPr>
  </singleXmlCell>
  <singleXmlCell id="701" xr6:uid="{00000000-000C-0000-FFFF-FFFFD5000000}" r="K132" connectionId="0">
    <xmlCellPr id="1" xr6:uid="{00000000-0010-0000-D500-000001000000}" uniqueName="1">
      <xmlPr mapId="43" xpath="/ns1:Root/ns1:Prog/ns1:Achieved__P4_6" xmlDataType="double"/>
    </xmlCellPr>
  </singleXmlCell>
  <singleXmlCell id="702" xr6:uid="{00000000-000C-0000-FFFF-FFFFD6000000}" r="L132" connectionId="0">
    <xmlCellPr id="1" xr6:uid="{00000000-0010-0000-D600-000001000000}" uniqueName="1">
      <xmlPr mapId="43" xpath="/ns1:Root/ns1:Prog/ns1:Achieved__P5_6" xmlDataType="string"/>
    </xmlCellPr>
  </singleXmlCell>
  <singleXmlCell id="703" xr6:uid="{00000000-000C-0000-FFFF-FFFFD7000000}" r="M132" connectionId="0">
    <xmlCellPr id="1" xr6:uid="{00000000-0010-0000-D700-000001000000}" uniqueName="1">
      <xmlPr mapId="43" xpath="/ns1:Root/ns1:Prog/ns1:Achieved__P6_6" xmlDataType="string"/>
    </xmlCellPr>
  </singleXmlCell>
  <singleXmlCell id="704" xr6:uid="{00000000-000C-0000-FFFF-FFFFD8000000}" r="N132" connectionId="0">
    <xmlCellPr id="1" xr6:uid="{00000000-0010-0000-D800-000001000000}" uniqueName="1">
      <xmlPr mapId="43" xpath="/ns1:Root/ns1:Prog/ns1:Achieved__P7_6" xmlDataType="string"/>
    </xmlCellPr>
  </singleXmlCell>
  <singleXmlCell id="705" xr6:uid="{00000000-000C-0000-FFFF-FFFFD9000000}" r="O132" connectionId="0">
    <xmlCellPr id="1" xr6:uid="{00000000-0010-0000-D900-000001000000}" uniqueName="1">
      <xmlPr mapId="43" xpath="/ns1:Root/ns1:Prog/ns1:Achieved__P8_6" xmlDataType="string"/>
    </xmlCellPr>
  </singleXmlCell>
  <singleXmlCell id="706" xr6:uid="{00000000-000C-0000-FFFF-FFFFDA000000}" r="P132" connectionId="0">
    <xmlCellPr id="1" xr6:uid="{00000000-0010-0000-DA00-000001000000}" uniqueName="1">
      <xmlPr mapId="43" xpath="/ns1:Root/ns1:Prog/ns1:Achieved__P9_6" xmlDataType="string"/>
    </xmlCellPr>
  </singleXmlCell>
  <singleXmlCell id="707" xr6:uid="{00000000-000C-0000-FFFF-FFFFDB000000}" r="Q132" connectionId="0">
    <xmlCellPr id="1" xr6:uid="{00000000-0010-0000-DB00-000001000000}" uniqueName="1">
      <xmlPr mapId="43" xpath="/ns1:Root/ns1:Prog/ns1:Achieved__P10_6" xmlDataType="string"/>
    </xmlCellPr>
  </singleXmlCell>
  <singleXmlCell id="708" xr6:uid="{00000000-000C-0000-FFFF-FFFFDC000000}" r="R132" connectionId="0">
    <xmlCellPr id="1" xr6:uid="{00000000-0010-0000-DC00-000001000000}" uniqueName="1">
      <xmlPr mapId="43" xpath="/ns1:Root/ns1:Prog/ns1:Achieved__P11_6" xmlDataType="string"/>
    </xmlCellPr>
  </singleXmlCell>
  <singleXmlCell id="709" xr6:uid="{00000000-000C-0000-FFFF-FFFFDD000000}" r="S132" connectionId="0">
    <xmlCellPr id="1" xr6:uid="{00000000-0010-0000-DD00-000001000000}" uniqueName="1">
      <xmlPr mapId="43" xpath="/ns1:Root/ns1:Prog/ns1:Achieved__P12_6" xmlDataType="string"/>
    </xmlCellPr>
  </singleXmlCell>
  <singleXmlCell id="808" xr6:uid="{00000000-000C-0000-FFFF-FFFFDE000000}" r="E123" connectionId="0">
    <xmlCellPr id="1" xr6:uid="{00000000-0010-0000-DE00-000001000000}" uniqueName="1">
      <xmlPr mapId="43" xpath="/ns1:Root/ns1:P1_Code" xmlDataType="double"/>
    </xmlCellPr>
  </singleXmlCell>
  <singleXmlCell id="810" xr6:uid="{00000000-000C-0000-FFFF-FFFFDF000000}" r="B125" connectionId="0">
    <xmlCellPr id="1" xr6:uid="{00000000-0010-0000-DF00-000001000000}" uniqueName="1">
      <xmlPr mapId="43" xpath="/ns1:Root/ns1:P2" xmlDataType="string"/>
    </xmlCellPr>
  </singleXmlCell>
  <singleXmlCell id="811" xr6:uid="{00000000-000C-0000-FFFF-FFFFE0000000}" r="E125" connectionId="0">
    <xmlCellPr id="1" xr6:uid="{00000000-0010-0000-E000-000001000000}" uniqueName="1">
      <xmlPr mapId="43" xpath="/ns1:Root/ns1:P2_Code" xmlDataType="double"/>
    </xmlCellPr>
  </singleXmlCell>
  <singleXmlCell id="812" xr6:uid="{00000000-000C-0000-FFFF-FFFFE1000000}" r="F125" connectionId="0">
    <xmlCellPr id="1" xr6:uid="{00000000-0010-0000-E100-000001000000}" uniqueName="1">
      <xmlPr mapId="43" xpath="/ns1:Root/ns1:P2_Tied" xmlDataType="string"/>
    </xmlCellPr>
  </singleXmlCell>
  <singleXmlCell id="819" xr6:uid="{00000000-000C-0000-FFFF-FFFFE2000000}" r="B129" connectionId="0">
    <xmlCellPr id="1" xr6:uid="{00000000-0010-0000-E200-000001000000}" uniqueName="1">
      <xmlPr mapId="43" xpath="/ns1:Root/ns1:P5" xmlDataType="string"/>
    </xmlCellPr>
  </singleXmlCell>
  <singleXmlCell id="820" xr6:uid="{00000000-000C-0000-FFFF-FFFFE3000000}" r="E129" connectionId="0">
    <xmlCellPr id="1" xr6:uid="{00000000-0010-0000-E300-000001000000}" uniqueName="1">
      <xmlPr mapId="43" xpath="/ns1:Root/ns1:P5_Code" xmlDataType="double"/>
    </xmlCellPr>
  </singleXmlCell>
  <singleXmlCell id="821" xr6:uid="{00000000-000C-0000-FFFF-FFFFE4000000}" r="F129" connectionId="0">
    <xmlCellPr id="1" xr6:uid="{00000000-0010-0000-E400-000001000000}" uniqueName="1">
      <xmlPr mapId="43" xpath="/ns1:Root/ns1:P5_Tied" xmlDataType="string"/>
    </xmlCellPr>
  </singleXmlCell>
  <singleXmlCell id="822" xr6:uid="{00000000-000C-0000-FFFF-FFFFE5000000}" r="B131" connectionId="0">
    <xmlCellPr id="1" xr6:uid="{00000000-0010-0000-E500-000001000000}" uniqueName="1">
      <xmlPr mapId="43" xpath="/ns1:Root/ns1:P6" xmlDataType="string"/>
    </xmlCellPr>
  </singleXmlCell>
  <singleXmlCell id="823" xr6:uid="{00000000-000C-0000-FFFF-FFFFE6000000}" r="E131" connectionId="0">
    <xmlCellPr id="1" xr6:uid="{00000000-0010-0000-E600-000001000000}" uniqueName="1">
      <xmlPr mapId="43" xpath="/ns1:Root/ns1:P6_Code" xmlDataType="double"/>
    </xmlCellPr>
  </singleXmlCell>
  <singleXmlCell id="824" xr6:uid="{00000000-000C-0000-FFFF-FFFFE7000000}" r="F131"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7" connectionId="0">
    <xmlCellPr id="1" xr6:uid="{00000000-0010-0000-E900-000001000000}" uniqueName="1">
      <xmlPr mapId="43" xpath="/ns1:Root/ns1:P8_Tied" xmlDataType="string"/>
    </xmlCellPr>
  </singleXmlCell>
  <singleXmlCell id="829" xr6:uid="{00000000-000C-0000-FFFF-FFFFEA000000}" r="E137" connectionId="0">
    <xmlCellPr id="1" xr6:uid="{00000000-0010-0000-EA00-000001000000}" uniqueName="1">
      <xmlPr mapId="43" xpath="/ns1:Root/ns1:P8_Code" xmlDataType="double"/>
    </xmlCellPr>
  </singleXmlCell>
  <singleXmlCell id="828" xr6:uid="{00000000-000C-0000-FFFF-FFFFEB000000}" r="B137" connectionId="0">
    <xmlCellPr id="1" xr6:uid="{00000000-0010-0000-EB00-000001000000}" uniqueName="1">
      <xmlPr mapId="43" xpath="/ns1:Root/ns1:P8" xmlDataType="string"/>
    </xmlCellPr>
  </singleXmlCell>
  <singleXmlCell id="827" xr6:uid="{00000000-000C-0000-FFFF-FFFFEC000000}" r="F133" connectionId="0">
    <xmlCellPr id="1" xr6:uid="{00000000-0010-0000-EC00-000001000000}" uniqueName="1">
      <xmlPr mapId="43" xpath="/ns1:Root/ns1:P7_Tied" xmlDataType="string"/>
    </xmlCellPr>
  </singleXmlCell>
  <singleXmlCell id="826" xr6:uid="{00000000-000C-0000-FFFF-FFFFED000000}" r="E133" connectionId="0">
    <xmlCellPr id="1" xr6:uid="{00000000-0010-0000-ED00-000001000000}" uniqueName="1">
      <xmlPr mapId="43" xpath="/ns1:Root/ns1:P7_Code" xmlDataType="double"/>
    </xmlCellPr>
  </singleXmlCell>
  <singleXmlCell id="825" xr6:uid="{00000000-000C-0000-FFFF-FFFFEE000000}" r="B133" connectionId="0">
    <xmlCellPr id="1" xr6:uid="{00000000-0010-0000-EE00-000001000000}" uniqueName="1">
      <xmlPr mapId="43" xpath="/ns1:Root/ns1:P7" xmlDataType="string"/>
    </xmlCellPr>
  </singleXmlCell>
  <singleXmlCell id="757" xr6:uid="{00000000-000C-0000-FFFF-FFFFEF000000}" r="S138" connectionId="0">
    <xmlCellPr id="1" xr6:uid="{00000000-0010-0000-EF00-000001000000}" uniqueName="1">
      <xmlPr mapId="43" xpath="/ns1:Root/ns1:Prog/ns1:Achieved__P12_8" xmlDataType="string"/>
    </xmlCellPr>
  </singleXmlCell>
  <singleXmlCell id="756" xr6:uid="{00000000-000C-0000-FFFF-FFFFF0000000}" r="R138" connectionId="0">
    <xmlCellPr id="1" xr6:uid="{00000000-0010-0000-F000-000001000000}" uniqueName="1">
      <xmlPr mapId="43" xpath="/ns1:Root/ns1:Prog/ns1:Achieved__P11_8" xmlDataType="string"/>
    </xmlCellPr>
  </singleXmlCell>
  <singleXmlCell id="755" xr6:uid="{00000000-000C-0000-FFFF-FFFFF1000000}" r="Q138" connectionId="0">
    <xmlCellPr id="1" xr6:uid="{00000000-0010-0000-F100-000001000000}" uniqueName="1">
      <xmlPr mapId="43" xpath="/ns1:Root/ns1:Prog/ns1:Achieved__P10_8" xmlDataType="string"/>
    </xmlCellPr>
  </singleXmlCell>
  <singleXmlCell id="754" xr6:uid="{00000000-000C-0000-FFFF-FFFFF2000000}" r="P138" connectionId="0">
    <xmlCellPr id="1" xr6:uid="{00000000-0010-0000-F200-000001000000}" uniqueName="1">
      <xmlPr mapId="43" xpath="/ns1:Root/ns1:Prog/ns1:Achieved__P9_8" xmlDataType="string"/>
    </xmlCellPr>
  </singleXmlCell>
  <singleXmlCell id="753" xr6:uid="{00000000-000C-0000-FFFF-FFFFF3000000}" r="O138" connectionId="0">
    <xmlCellPr id="1" xr6:uid="{00000000-0010-0000-F300-000001000000}" uniqueName="1">
      <xmlPr mapId="43" xpath="/ns1:Root/ns1:Prog/ns1:Achieved__P8_8" xmlDataType="string"/>
    </xmlCellPr>
  </singleXmlCell>
  <singleXmlCell id="752" xr6:uid="{00000000-000C-0000-FFFF-FFFFF4000000}" r="N138" connectionId="0">
    <xmlCellPr id="1" xr6:uid="{00000000-0010-0000-F400-000001000000}" uniqueName="1">
      <xmlPr mapId="43" xpath="/ns1:Root/ns1:Prog/ns1:Achieved__P7_8" xmlDataType="string"/>
    </xmlCellPr>
  </singleXmlCell>
  <singleXmlCell id="751" xr6:uid="{00000000-000C-0000-FFFF-FFFFF5000000}" r="M138" connectionId="0">
    <xmlCellPr id="1" xr6:uid="{00000000-0010-0000-F500-000001000000}" uniqueName="1">
      <xmlPr mapId="43" xpath="/ns1:Root/ns1:Prog/ns1:Achieved__P6_8" xmlDataType="string"/>
    </xmlCellPr>
  </singleXmlCell>
  <singleXmlCell id="750" xr6:uid="{00000000-000C-0000-FFFF-FFFFF6000000}" r="L138" connectionId="0">
    <xmlCellPr id="1" xr6:uid="{00000000-0010-0000-F600-000001000000}" uniqueName="1">
      <xmlPr mapId="43" xpath="/ns1:Root/ns1:Prog/ns1:Achieved__P5_8" xmlDataType="string"/>
    </xmlCellPr>
  </singleXmlCell>
  <singleXmlCell id="749" xr6:uid="{00000000-000C-0000-FFFF-FFFFF7000000}" r="K138" connectionId="0">
    <xmlCellPr id="1" xr6:uid="{00000000-0010-0000-F700-000001000000}" uniqueName="1">
      <xmlPr mapId="43" xpath="/ns1:Root/ns1:Prog/ns1:Achieved__P4_8" xmlDataType="string"/>
    </xmlCellPr>
  </singleXmlCell>
  <singleXmlCell id="748" xr6:uid="{00000000-000C-0000-FFFF-FFFFF8000000}" r="J138" connectionId="0">
    <xmlCellPr id="1" xr6:uid="{00000000-0010-0000-F800-000001000000}" uniqueName="1">
      <xmlPr mapId="43" xpath="/ns1:Root/ns1:Prog/ns1:Achieved__P3_8" xmlDataType="string"/>
    </xmlCellPr>
  </singleXmlCell>
  <singleXmlCell id="747" xr6:uid="{00000000-000C-0000-FFFF-FFFFF9000000}" r="I138" connectionId="0">
    <xmlCellPr id="1" xr6:uid="{00000000-0010-0000-F900-000001000000}" uniqueName="1">
      <xmlPr mapId="43" xpath="/ns1:Root/ns1:Prog/ns1:Achieved__P2_8" xmlDataType="string"/>
    </xmlCellPr>
  </singleXmlCell>
  <singleXmlCell id="746" xr6:uid="{00000000-000C-0000-FFFF-FFFFFA000000}" r="H138" connectionId="0">
    <xmlCellPr id="1" xr6:uid="{00000000-0010-0000-FA00-000001000000}" uniqueName="1">
      <xmlPr mapId="43" xpath="/ns1:Root/ns1:Prog/ns1:Achieved__P1_8" xmlDataType="string"/>
    </xmlCellPr>
  </singleXmlCell>
  <singleXmlCell id="745" xr6:uid="{00000000-000C-0000-FFFF-FFFFFB000000}" r="S137" connectionId="0">
    <xmlCellPr id="1" xr6:uid="{00000000-0010-0000-FB00-000001000000}" uniqueName="1">
      <xmlPr mapId="43" xpath="/ns1:Root/ns1:Prog/ns1:Target_P12_8" xmlDataType="double"/>
    </xmlCellPr>
  </singleXmlCell>
  <singleXmlCell id="744" xr6:uid="{00000000-000C-0000-FFFF-FFFFFC000000}" r="R137" connectionId="0">
    <xmlCellPr id="1" xr6:uid="{00000000-0010-0000-FC00-000001000000}" uniqueName="1">
      <xmlPr mapId="43" xpath="/ns1:Root/ns1:Prog/ns1:Target_P11_8" xmlDataType="double"/>
    </xmlCellPr>
  </singleXmlCell>
  <singleXmlCell id="743" xr6:uid="{00000000-000C-0000-FFFF-FFFFFD000000}" r="Q137" connectionId="0">
    <xmlCellPr id="1" xr6:uid="{00000000-0010-0000-FD00-000001000000}" uniqueName="1">
      <xmlPr mapId="43" xpath="/ns1:Root/ns1:Prog/ns1:Target_P10_8" xmlDataType="double"/>
    </xmlCellPr>
  </singleXmlCell>
  <singleXmlCell id="742" xr6:uid="{00000000-000C-0000-FFFF-FFFFFE000000}" r="P137" connectionId="0">
    <xmlCellPr id="1" xr6:uid="{00000000-0010-0000-FE00-000001000000}" uniqueName="1">
      <xmlPr mapId="43" xpath="/ns1:Root/ns1:Prog/ns1:Target_P9_8" xmlDataType="double"/>
    </xmlCellPr>
  </singleXmlCell>
  <singleXmlCell id="741" xr6:uid="{00000000-000C-0000-FFFF-FFFFFF000000}" r="O137" connectionId="0">
    <xmlCellPr id="1" xr6:uid="{00000000-0010-0000-FF00-000001000000}" uniqueName="1">
      <xmlPr mapId="43" xpath="/ns1:Root/ns1:Prog/ns1:Target_P8_8" xmlDataType="double"/>
    </xmlCellPr>
  </singleXmlCell>
  <singleXmlCell id="740" xr6:uid="{00000000-000C-0000-FFFF-FFFF00010000}" r="N137" connectionId="0">
    <xmlCellPr id="1" xr6:uid="{00000000-0010-0000-0001-000001000000}" uniqueName="1">
      <xmlPr mapId="43" xpath="/ns1:Root/ns1:Prog/ns1:Target_P7_8" xmlDataType="string"/>
    </xmlCellPr>
  </singleXmlCell>
  <singleXmlCell id="739" xr6:uid="{00000000-000C-0000-FFFF-FFFF01010000}" r="M137" connectionId="0">
    <xmlCellPr id="1" xr6:uid="{00000000-0010-0000-0101-000001000000}" uniqueName="1">
      <xmlPr mapId="43" xpath="/ns1:Root/ns1:Prog/ns1:Target_P6_8" xmlDataType="double"/>
    </xmlCellPr>
  </singleXmlCell>
  <singleXmlCell id="738" xr6:uid="{00000000-000C-0000-FFFF-FFFF02010000}" r="L137" connectionId="0">
    <xmlCellPr id="1" xr6:uid="{00000000-0010-0000-0201-000001000000}" uniqueName="1">
      <xmlPr mapId="43" xpath="/ns1:Root/ns1:Prog/ns1:Target_P5_8" xmlDataType="string"/>
    </xmlCellPr>
  </singleXmlCell>
  <singleXmlCell id="737" xr6:uid="{00000000-000C-0000-FFFF-FFFF03010000}" r="K137" connectionId="0">
    <xmlCellPr id="1" xr6:uid="{00000000-0010-0000-0301-000001000000}" uniqueName="1">
      <xmlPr mapId="43" xpath="/ns1:Root/ns1:Prog/ns1:Target_P4_8" xmlDataType="double"/>
    </xmlCellPr>
  </singleXmlCell>
  <singleXmlCell id="736" xr6:uid="{00000000-000C-0000-FFFF-FFFF04010000}" r="J137" connectionId="0">
    <xmlCellPr id="1" xr6:uid="{00000000-0010-0000-0401-000001000000}" uniqueName="1">
      <xmlPr mapId="43" xpath="/ns1:Root/ns1:Prog/ns1:Target_P3_8" xmlDataType="string"/>
    </xmlCellPr>
  </singleXmlCell>
  <singleXmlCell id="735" xr6:uid="{00000000-000C-0000-FFFF-FFFF05010000}" r="I137" connectionId="0">
    <xmlCellPr id="1" xr6:uid="{00000000-0010-0000-0501-000001000000}" uniqueName="1">
      <xmlPr mapId="43" xpath="/ns1:Root/ns1:Prog/ns1:Target_P2_8" xmlDataType="double"/>
    </xmlCellPr>
  </singleXmlCell>
  <singleXmlCell id="734" xr6:uid="{00000000-000C-0000-FFFF-FFFF06010000}" r="H137" connectionId="0">
    <xmlCellPr id="1" xr6:uid="{00000000-0010-0000-0601-000001000000}" uniqueName="1">
      <xmlPr mapId="43" xpath="/ns1:Root/ns1:Prog/ns1:Target_P1_8" xmlDataType="string"/>
    </xmlCellPr>
  </singleXmlCell>
  <singleXmlCell id="733" xr6:uid="{00000000-000C-0000-FFFF-FFFF07010000}" r="S134" connectionId="0">
    <xmlCellPr id="1" xr6:uid="{00000000-0010-0000-0701-000001000000}" uniqueName="1">
      <xmlPr mapId="43" xpath="/ns1:Root/ns1:Prog/ns1:Achieved__P12_7" xmlDataType="string"/>
    </xmlCellPr>
  </singleXmlCell>
  <singleXmlCell id="732" xr6:uid="{00000000-000C-0000-FFFF-FFFF08010000}" r="R134" connectionId="0">
    <xmlCellPr id="1" xr6:uid="{00000000-0010-0000-0801-000001000000}" uniqueName="1">
      <xmlPr mapId="43" xpath="/ns1:Root/ns1:Prog/ns1:Achieved__P11_7" xmlDataType="string"/>
    </xmlCellPr>
  </singleXmlCell>
  <singleXmlCell id="731" xr6:uid="{00000000-000C-0000-FFFF-FFFF09010000}" r="Q134" connectionId="0">
    <xmlCellPr id="1" xr6:uid="{00000000-0010-0000-0901-000001000000}" uniqueName="1">
      <xmlPr mapId="43" xpath="/ns1:Root/ns1:Prog/ns1:Achieved__P10_7" xmlDataType="string"/>
    </xmlCellPr>
  </singleXmlCell>
  <singleXmlCell id="730" xr6:uid="{00000000-000C-0000-FFFF-FFFF0A010000}" r="P134" connectionId="0">
    <xmlCellPr id="1" xr6:uid="{00000000-0010-0000-0A01-000001000000}" uniqueName="1">
      <xmlPr mapId="43" xpath="/ns1:Root/ns1:Prog/ns1:Achieved__P9_7" xmlDataType="string"/>
    </xmlCellPr>
  </singleXmlCell>
  <singleXmlCell id="729" xr6:uid="{00000000-000C-0000-FFFF-FFFF0B010000}" r="O134" connectionId="0">
    <xmlCellPr id="1" xr6:uid="{00000000-0010-0000-0B01-000001000000}" uniqueName="1">
      <xmlPr mapId="43" xpath="/ns1:Root/ns1:Prog/ns1:Achieved__P8_7" xmlDataType="string"/>
    </xmlCellPr>
  </singleXmlCell>
  <singleXmlCell id="728" xr6:uid="{00000000-000C-0000-FFFF-FFFF0C010000}" r="N134" connectionId="0">
    <xmlCellPr id="1" xr6:uid="{00000000-0010-0000-0C01-000001000000}" uniqueName="1">
      <xmlPr mapId="43" xpath="/ns1:Root/ns1:Prog/ns1:Achieved__P7_7" xmlDataType="string"/>
    </xmlCellPr>
  </singleXmlCell>
  <singleXmlCell id="727" xr6:uid="{00000000-000C-0000-FFFF-FFFF0D010000}" r="M134" connectionId="0">
    <xmlCellPr id="1" xr6:uid="{00000000-0010-0000-0D01-000001000000}" uniqueName="1">
      <xmlPr mapId="43" xpath="/ns1:Root/ns1:Prog/ns1:Achieved__P6_7" xmlDataType="string"/>
    </xmlCellPr>
  </singleXmlCell>
  <singleXmlCell id="726" xr6:uid="{00000000-000C-0000-FFFF-FFFF0E010000}" r="L134" connectionId="0">
    <xmlCellPr id="1" xr6:uid="{00000000-0010-0000-0E01-000001000000}" uniqueName="1">
      <xmlPr mapId="43" xpath="/ns1:Root/ns1:Prog/ns1:Achieved__P5_7" xmlDataType="string"/>
    </xmlCellPr>
  </singleXmlCell>
  <singleXmlCell id="725" xr6:uid="{00000000-000C-0000-FFFF-FFFF0F010000}" r="K134" connectionId="0">
    <xmlCellPr id="1" xr6:uid="{00000000-0010-0000-0F01-000001000000}" uniqueName="1">
      <xmlPr mapId="43" xpath="/ns1:Root/ns1:Prog/ns1:Achieved__P4_7" xmlDataType="double"/>
    </xmlCellPr>
  </singleXmlCell>
  <singleXmlCell id="724" xr6:uid="{00000000-000C-0000-FFFF-FFFF10010000}" r="J134" connectionId="0">
    <xmlCellPr id="1" xr6:uid="{00000000-0010-0000-1001-000001000000}" uniqueName="1">
      <xmlPr mapId="43" xpath="/ns1:Root/ns1:Prog/ns1:Achieved__P3_7" xmlDataType="double"/>
    </xmlCellPr>
  </singleXmlCell>
  <singleXmlCell id="723" xr6:uid="{00000000-000C-0000-FFFF-FFFF11010000}" r="I134" connectionId="0">
    <xmlCellPr id="1" xr6:uid="{00000000-0010-0000-1101-000001000000}" uniqueName="1">
      <xmlPr mapId="43" xpath="/ns1:Root/ns1:Prog/ns1:Achieved__P2_7" xmlDataType="double"/>
    </xmlCellPr>
  </singleXmlCell>
  <singleXmlCell id="722" xr6:uid="{00000000-000C-0000-FFFF-FFFF12010000}" r="H134" connectionId="0">
    <xmlCellPr id="1" xr6:uid="{00000000-0010-0000-1201-000001000000}" uniqueName="1">
      <xmlPr mapId="43" xpath="/ns1:Root/ns1:Prog/ns1:Achieved__P1_7" xmlDataType="double"/>
    </xmlCellPr>
  </singleXmlCell>
  <singleXmlCell id="721" xr6:uid="{00000000-000C-0000-FFFF-FFFF13010000}" r="S133" connectionId="0">
    <xmlCellPr id="1" xr6:uid="{00000000-0010-0000-1301-000001000000}" uniqueName="1">
      <xmlPr mapId="43" xpath="/ns1:Root/ns1:Prog/ns1:Target_P12_7" xmlDataType="double"/>
    </xmlCellPr>
  </singleXmlCell>
  <singleXmlCell id="720" xr6:uid="{00000000-000C-0000-FFFF-FFFF14010000}" r="R133" connectionId="0">
    <xmlCellPr id="1" xr6:uid="{00000000-0010-0000-1401-000001000000}" uniqueName="1">
      <xmlPr mapId="43" xpath="/ns1:Root/ns1:Prog/ns1:Target_P11_7" xmlDataType="double"/>
    </xmlCellPr>
  </singleXmlCell>
  <singleXmlCell id="719" xr6:uid="{00000000-000C-0000-FFFF-FFFF15010000}" r="Q133" connectionId="0">
    <xmlCellPr id="1" xr6:uid="{00000000-0010-0000-1501-000001000000}" uniqueName="1">
      <xmlPr mapId="43" xpath="/ns1:Root/ns1:Prog/ns1:Target_P10_7" xmlDataType="double"/>
    </xmlCellPr>
  </singleXmlCell>
  <singleXmlCell id="718" xr6:uid="{00000000-000C-0000-FFFF-FFFF16010000}" r="P133" connectionId="0">
    <xmlCellPr id="1" xr6:uid="{00000000-0010-0000-1601-000001000000}" uniqueName="1">
      <xmlPr mapId="43" xpath="/ns1:Root/ns1:Prog/ns1:Target_P9_7" xmlDataType="double"/>
    </xmlCellPr>
  </singleXmlCell>
  <singleXmlCell id="717" xr6:uid="{00000000-000C-0000-FFFF-FFFF17010000}" r="O133" connectionId="0">
    <xmlCellPr id="1" xr6:uid="{00000000-0010-0000-1701-000001000000}" uniqueName="1">
      <xmlPr mapId="43" xpath="/ns1:Root/ns1:Prog/ns1:Target_P8_7" xmlDataType="double"/>
    </xmlCellPr>
  </singleXmlCell>
  <singleXmlCell id="716" xr6:uid="{00000000-000C-0000-FFFF-FFFF18010000}" r="N133" connectionId="0">
    <xmlCellPr id="1" xr6:uid="{00000000-0010-0000-1801-000001000000}" uniqueName="1">
      <xmlPr mapId="43" xpath="/ns1:Root/ns1:Prog/ns1:Target_P7_7" xmlDataType="double"/>
    </xmlCellPr>
  </singleXmlCell>
  <singleXmlCell id="715" xr6:uid="{00000000-000C-0000-FFFF-FFFF19010000}" r="M133" connectionId="0">
    <xmlCellPr id="1" xr6:uid="{00000000-0010-0000-1901-000001000000}" uniqueName="1">
      <xmlPr mapId="43" xpath="/ns1:Root/ns1:Prog/ns1:Target_P6_7" xmlDataType="double"/>
    </xmlCellPr>
  </singleXmlCell>
  <singleXmlCell id="714" xr6:uid="{00000000-000C-0000-FFFF-FFFF1A010000}" r="L133" connectionId="0">
    <xmlCellPr id="1" xr6:uid="{00000000-0010-0000-1A01-000001000000}" uniqueName="1">
      <xmlPr mapId="43" xpath="/ns1:Root/ns1:Prog/ns1:Target_P5_7" xmlDataType="double"/>
    </xmlCellPr>
  </singleXmlCell>
  <singleXmlCell id="713" xr6:uid="{00000000-000C-0000-FFFF-FFFF1B010000}" r="K133" connectionId="0">
    <xmlCellPr id="1" xr6:uid="{00000000-0010-0000-1B01-000001000000}" uniqueName="1">
      <xmlPr mapId="43" xpath="/ns1:Root/ns1:Prog/ns1:Target_P4_7" xmlDataType="double"/>
    </xmlCellPr>
  </singleXmlCell>
  <singleXmlCell id="712" xr6:uid="{00000000-000C-0000-FFFF-FFFF1C010000}" r="J133" connectionId="0">
    <xmlCellPr id="1" xr6:uid="{00000000-0010-0000-1C01-000001000000}" uniqueName="1">
      <xmlPr mapId="43" xpath="/ns1:Root/ns1:Prog/ns1:Target_P3_7" xmlDataType="double"/>
    </xmlCellPr>
  </singleXmlCell>
  <singleXmlCell id="711" xr6:uid="{00000000-000C-0000-FFFF-FFFF1D010000}" r="I133" connectionId="0">
    <xmlCellPr id="1" xr6:uid="{00000000-0010-0000-1D01-000001000000}" uniqueName="1">
      <xmlPr mapId="43" xpath="/ns1:Root/ns1:Prog/ns1:Target_P2_7" xmlDataType="double"/>
    </xmlCellPr>
  </singleXmlCell>
  <singleXmlCell id="710" xr6:uid="{00000000-000C-0000-FFFF-FFFF1E010000}" r="H133" connectionId="0">
    <xmlCellPr id="1" xr6:uid="{00000000-0010-0000-1E01-000001000000}" uniqueName="1">
      <xmlPr mapId="43" xpath="/ns1:Root/ns1:Prog/ns1:Target_P1_7" xmlDataType="double"/>
    </xmlCellPr>
  </singleXmlCell>
  <singleXmlCell id="815" xr6:uid="{00000000-000C-0000-FFFF-FFFF1F010000}" r="F127" connectionId="0">
    <xmlCellPr id="1" xr6:uid="{00000000-0010-0000-1F01-000001000000}" uniqueName="1">
      <xmlPr mapId="43" xpath="/ns1:Root/ns1:P3_Tied" xmlDataType="string"/>
    </xmlCellPr>
  </singleXmlCell>
  <singleXmlCell id="814" xr6:uid="{00000000-000C-0000-FFFF-FFFF20010000}" r="E127" connectionId="0">
    <xmlCellPr id="1" xr6:uid="{00000000-0010-0000-2001-000001000000}" uniqueName="1">
      <xmlPr mapId="43" xpath="/ns1:Root/ns1:P3_Code" xmlDataType="double"/>
    </xmlCellPr>
  </singleXmlCell>
  <singleXmlCell id="813" xr6:uid="{00000000-000C-0000-FFFF-FFFF21010000}" r="B127" connectionId="0">
    <xmlCellPr id="1" xr6:uid="{00000000-0010-0000-2101-000001000000}" uniqueName="1">
      <xmlPr mapId="43" xpath="/ns1:Root/ns1:P3" xmlDataType="string"/>
    </xmlCellPr>
  </singleXmlCell>
  <singleXmlCell id="637" xr6:uid="{00000000-000C-0000-FFFF-FFFF22010000}" r="S128" connectionId="0">
    <xmlCellPr id="1" xr6:uid="{00000000-0010-0000-2201-000001000000}" uniqueName="1">
      <xmlPr mapId="43" xpath="/ns1:Root/ns1:Prog/ns1:Achieved__P12_3" xmlDataType="string"/>
    </xmlCellPr>
  </singleXmlCell>
  <singleXmlCell id="636" xr6:uid="{00000000-000C-0000-FFFF-FFFF23010000}" r="R128" connectionId="0">
    <xmlCellPr id="1" xr6:uid="{00000000-0010-0000-2301-000001000000}" uniqueName="1">
      <xmlPr mapId="43" xpath="/ns1:Root/ns1:Prog/ns1:Achieved__P11_3" xmlDataType="string"/>
    </xmlCellPr>
  </singleXmlCell>
  <singleXmlCell id="635" xr6:uid="{00000000-000C-0000-FFFF-FFFF24010000}" r="Q128" connectionId="0">
    <xmlCellPr id="1" xr6:uid="{00000000-0010-0000-2401-000001000000}" uniqueName="1">
      <xmlPr mapId="43" xpath="/ns1:Root/ns1:Prog/ns1:Achieved__P10_3" xmlDataType="string"/>
    </xmlCellPr>
  </singleXmlCell>
  <singleXmlCell id="634" xr6:uid="{00000000-000C-0000-FFFF-FFFF25010000}" r="P128" connectionId="0">
    <xmlCellPr id="1" xr6:uid="{00000000-0010-0000-2501-000001000000}" uniqueName="1">
      <xmlPr mapId="43" xpath="/ns1:Root/ns1:Prog/ns1:Achieved__P9_3" xmlDataType="string"/>
    </xmlCellPr>
  </singleXmlCell>
  <singleXmlCell id="633" xr6:uid="{00000000-000C-0000-FFFF-FFFF26010000}" r="O128" connectionId="0">
    <xmlCellPr id="1" xr6:uid="{00000000-0010-0000-2601-000001000000}" uniqueName="1">
      <xmlPr mapId="43" xpath="/ns1:Root/ns1:Prog/ns1:Achieved__P8_3" xmlDataType="string"/>
    </xmlCellPr>
  </singleXmlCell>
  <singleXmlCell id="632" xr6:uid="{00000000-000C-0000-FFFF-FFFF27010000}" r="N128" connectionId="0">
    <xmlCellPr id="1" xr6:uid="{00000000-0010-0000-2701-000001000000}" uniqueName="1">
      <xmlPr mapId="43" xpath="/ns1:Root/ns1:Prog/ns1:Achieved__P7_3" xmlDataType="string"/>
    </xmlCellPr>
  </singleXmlCell>
  <singleXmlCell id="631" xr6:uid="{00000000-000C-0000-FFFF-FFFF28010000}" r="M128" connectionId="0">
    <xmlCellPr id="1" xr6:uid="{00000000-0010-0000-2801-000001000000}" uniqueName="1">
      <xmlPr mapId="43" xpath="/ns1:Root/ns1:Prog/ns1:Achieved__P6_3" xmlDataType="string"/>
    </xmlCellPr>
  </singleXmlCell>
  <singleXmlCell id="630" xr6:uid="{00000000-000C-0000-FFFF-FFFF29010000}" r="L128" connectionId="0">
    <xmlCellPr id="1" xr6:uid="{00000000-0010-0000-2901-000001000000}" uniqueName="1">
      <xmlPr mapId="43" xpath="/ns1:Root/ns1:Prog/ns1:Achieved__P5_3" xmlDataType="string"/>
    </xmlCellPr>
  </singleXmlCell>
  <singleXmlCell id="629" xr6:uid="{00000000-000C-0000-FFFF-FFFF2A010000}" r="K128" connectionId="0">
    <xmlCellPr id="1" xr6:uid="{00000000-0010-0000-2A01-000001000000}" uniqueName="1">
      <xmlPr mapId="43" xpath="/ns1:Root/ns1:Prog/ns1:Achieved__P4_3" xmlDataType="double"/>
    </xmlCellPr>
  </singleXmlCell>
  <singleXmlCell id="628" xr6:uid="{00000000-000C-0000-FFFF-FFFF2B010000}" r="J128" connectionId="0">
    <xmlCellPr id="1" xr6:uid="{00000000-0010-0000-2B01-000001000000}" uniqueName="1">
      <xmlPr mapId="43" xpath="/ns1:Root/ns1:Prog/ns1:Achieved__P3_3" xmlDataType="string"/>
    </xmlCellPr>
  </singleXmlCell>
  <singleXmlCell id="627" xr6:uid="{00000000-000C-0000-FFFF-FFFF2C010000}" r="I128" connectionId="0">
    <xmlCellPr id="1" xr6:uid="{00000000-0010-0000-2C01-000001000000}" uniqueName="1">
      <xmlPr mapId="43" xpath="/ns1:Root/ns1:Prog/ns1:Achieved__P2_3" xmlDataType="double"/>
    </xmlCellPr>
  </singleXmlCell>
  <singleXmlCell id="626" xr6:uid="{00000000-000C-0000-FFFF-FFFF2D010000}" r="H128" connectionId="0">
    <xmlCellPr id="1" xr6:uid="{00000000-0010-0000-2D01-000001000000}" uniqueName="1">
      <xmlPr mapId="43" xpath="/ns1:Root/ns1:Prog/ns1:Achieved__P1_3" xmlDataType="string"/>
    </xmlCellPr>
  </singleXmlCell>
  <singleXmlCell id="625" xr6:uid="{00000000-000C-0000-FFFF-FFFF2E010000}" r="S127" connectionId="0">
    <xmlCellPr id="1" xr6:uid="{00000000-0010-0000-2E01-000001000000}" uniqueName="1">
      <xmlPr mapId="43" xpath="/ns1:Root/ns1:Prog/ns1:Target_P12_3" xmlDataType="double"/>
    </xmlCellPr>
  </singleXmlCell>
  <singleXmlCell id="624" xr6:uid="{00000000-000C-0000-FFFF-FFFF2F010000}" r="R127" connectionId="0">
    <xmlCellPr id="1" xr6:uid="{00000000-0010-0000-2F01-000001000000}" uniqueName="1">
      <xmlPr mapId="43" xpath="/ns1:Root/ns1:Prog/ns1:Target_P11_3" xmlDataType="string"/>
    </xmlCellPr>
  </singleXmlCell>
  <singleXmlCell id="623" xr6:uid="{00000000-000C-0000-FFFF-FFFF30010000}" r="Q127" connectionId="0">
    <xmlCellPr id="1" xr6:uid="{00000000-0010-0000-3001-000001000000}" uniqueName="1">
      <xmlPr mapId="43" xpath="/ns1:Root/ns1:Prog/ns1:Target_P10_3" xmlDataType="string"/>
    </xmlCellPr>
  </singleXmlCell>
  <singleXmlCell id="622" xr6:uid="{00000000-000C-0000-FFFF-FFFF31010000}" r="P127" connectionId="0">
    <xmlCellPr id="1" xr6:uid="{00000000-0010-0000-3101-000001000000}" uniqueName="1">
      <xmlPr mapId="43" xpath="/ns1:Root/ns1:Prog/ns1:Target_P9_3" xmlDataType="double"/>
    </xmlCellPr>
  </singleXmlCell>
  <singleXmlCell id="621" xr6:uid="{00000000-000C-0000-FFFF-FFFF32010000}" r="O127" connectionId="0">
    <xmlCellPr id="1" xr6:uid="{00000000-0010-0000-3201-000001000000}" uniqueName="1">
      <xmlPr mapId="43" xpath="/ns1:Root/ns1:Prog/ns1:Target_P8_3" xmlDataType="double"/>
    </xmlCellPr>
  </singleXmlCell>
  <singleXmlCell id="620" xr6:uid="{00000000-000C-0000-FFFF-FFFF33010000}" r="N127" connectionId="0">
    <xmlCellPr id="1" xr6:uid="{00000000-0010-0000-3301-000001000000}" uniqueName="1">
      <xmlPr mapId="43" xpath="/ns1:Root/ns1:Prog/ns1:Target_P7_3" xmlDataType="double"/>
    </xmlCellPr>
  </singleXmlCell>
  <singleXmlCell id="619" xr6:uid="{00000000-000C-0000-FFFF-FFFF34010000}" r="M127" connectionId="0">
    <xmlCellPr id="1" xr6:uid="{00000000-0010-0000-3401-000001000000}" uniqueName="1">
      <xmlPr mapId="43" xpath="/ns1:Root/ns1:Prog/ns1:Target_P6_3" xmlDataType="double"/>
    </xmlCellPr>
  </singleXmlCell>
  <singleXmlCell id="618" xr6:uid="{00000000-000C-0000-FFFF-FFFF35010000}" r="L127" connectionId="0">
    <xmlCellPr id="1" xr6:uid="{00000000-0010-0000-3501-000001000000}" uniqueName="1">
      <xmlPr mapId="43" xpath="/ns1:Root/ns1:Prog/ns1:Target_P5_3" xmlDataType="double"/>
    </xmlCellPr>
  </singleXmlCell>
  <singleXmlCell id="617" xr6:uid="{00000000-000C-0000-FFFF-FFFF36010000}" r="K127" connectionId="0">
    <xmlCellPr id="1" xr6:uid="{00000000-0010-0000-3601-000001000000}" uniqueName="1">
      <xmlPr mapId="43" xpath="/ns1:Root/ns1:Prog/ns1:Target_P4_3" xmlDataType="double"/>
    </xmlCellPr>
  </singleXmlCell>
  <singleXmlCell id="616" xr6:uid="{00000000-000C-0000-FFFF-FFFF37010000}" r="J127" connectionId="0">
    <xmlCellPr id="1" xr6:uid="{00000000-0010-0000-3701-000001000000}" uniqueName="1">
      <xmlPr mapId="43" xpath="/ns1:Root/ns1:Prog/ns1:Target_P3_3" xmlDataType="double"/>
    </xmlCellPr>
  </singleXmlCell>
  <singleXmlCell id="615" xr6:uid="{00000000-000C-0000-FFFF-FFFF38010000}" r="I127" connectionId="0">
    <xmlCellPr id="1" xr6:uid="{00000000-0010-0000-3801-000001000000}" uniqueName="1">
      <xmlPr mapId="43" xpath="/ns1:Root/ns1:Prog/ns1:Target_P2_3" xmlDataType="double"/>
    </xmlCellPr>
  </singleXmlCell>
  <singleXmlCell id="614" xr6:uid="{00000000-000C-0000-FFFF-FFFF39010000}" r="H127" connectionId="0">
    <xmlCellPr id="1" xr6:uid="{00000000-0010-0000-3901-000001000000}" uniqueName="1">
      <xmlPr mapId="43" xpath="/ns1:Root/ns1:Prog/ns1:Target_P1_3" xmlDataType="double"/>
    </xmlCellPr>
  </singleXmlCell>
  <singleXmlCell id="478" xr6:uid="{00000000-000C-0000-FFFF-FFFF39000000}" r="C59" connectionId="0">
    <xmlCellPr id="1" xr6:uid="{00000000-0010-0000-3900-000001000000}" uniqueName="1">
      <xmlPr mapId="43" xpath="/ns1:Root/ns1:F3/ns1:PR_expenditure_and_disbursement_Prior_to_reporting_period__in___" xmlDataType="double"/>
    </xmlCellPr>
  </singleXmlCell>
  <singleXmlCell id="480" xr6:uid="{00000000-000C-0000-FFFF-FFFF3B000000}" r="C60" connectionId="0">
    <xmlCellPr id="1" xr6:uid="{00000000-0010-0000-3B00-000001000000}" uniqueName="1">
      <xmlPr mapId="43" xpath="/ns1:Root/ns1:F3/ns1:Disbursed_to_SRs_Prior_to_reporting_period__in___" xmlDataType="double"/>
    </xmlCellPr>
  </singleXmlCell>
  <singleXmlCell id="482" xr6:uid="{00000000-000C-0000-FFFF-FFFF3D000000}" r="C61" connectionId="0">
    <xmlCellPr id="1" xr6:uid="{00000000-0010-0000-3D00-000001000000}" uniqueName="1">
      <xmlPr mapId="43" xpath="/ns1:Root/ns1:F3/ns1:SR_expenditures_Prior_to_reporting_period__in___"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tabSelected="1" zoomScale="120" zoomScaleNormal="100" workbookViewId="0">
      <selection activeCell="R28" sqref="R28"/>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2" t="str">
        <f>+'Detail despre Grant'!B3:J3</f>
        <v>Tabel Programatic de Evaluare:  Moldova - HIVAIDS / TB</v>
      </c>
      <c r="C2" s="552"/>
      <c r="D2" s="552"/>
      <c r="E2" s="552"/>
      <c r="F2" s="552"/>
      <c r="G2" s="552"/>
      <c r="H2" s="552"/>
      <c r="I2" s="552"/>
      <c r="J2" s="552"/>
      <c r="K2" s="552"/>
      <c r="L2" s="552"/>
      <c r="M2" s="1"/>
      <c r="N2" s="1"/>
      <c r="O2" s="1"/>
    </row>
    <row r="4" spans="2:15" ht="21">
      <c r="B4" s="553" t="str">
        <f>+IF('Introducerea datelor'!G6="Please Select", "",'Introducerea datelor'!G6) &amp;"  "&amp;+IF('Introducerea datelor'!G8="Please Select", "", 'Introducerea datelor'!G8&amp;",  ")&amp;+IF('Introducerea datelor'!I8="Please Select","",'Introducerea datelor'!I8)</f>
        <v>HIVAIDS / TB  Period 1</v>
      </c>
      <c r="C4" s="553"/>
      <c r="D4" s="553"/>
      <c r="E4" s="554"/>
      <c r="F4" s="111"/>
      <c r="G4" s="111"/>
      <c r="H4" s="110" t="str">
        <f>+'Introducerea datelor'!B6&amp;" "&amp;+'Introducerea datelor'!C6</f>
        <v>No. Grantului : MDA-C-PCIMU</v>
      </c>
      <c r="I4" s="110"/>
      <c r="J4" s="110"/>
      <c r="K4" s="111"/>
      <c r="L4" s="111"/>
    </row>
    <row r="22" spans="2:12" ht="26.25">
      <c r="B22" s="555" t="s">
        <v>272</v>
      </c>
      <c r="C22" s="556"/>
      <c r="D22" s="556"/>
      <c r="E22" s="556"/>
      <c r="F22" s="556"/>
      <c r="G22" s="556"/>
      <c r="H22" s="556"/>
      <c r="I22" s="556"/>
      <c r="J22" s="556"/>
      <c r="K22" s="556"/>
      <c r="L22" s="556"/>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O144"/>
  <sheetViews>
    <sheetView showGridLines="0" zoomScale="80" zoomScaleNormal="80" workbookViewId="0">
      <selection activeCell="J25" sqref="J25"/>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5" ht="25.5" customHeight="1"/>
    <row r="3" spans="2:15" ht="36">
      <c r="B3" s="851" t="str">
        <f>'Detail despre Grant'!B3:J3</f>
        <v>Tabel Programatic de Evaluare:  Moldova - HIVAIDS / TB</v>
      </c>
      <c r="C3" s="851"/>
      <c r="D3" s="851"/>
      <c r="E3" s="851"/>
      <c r="F3" s="851"/>
      <c r="G3" s="851"/>
      <c r="H3" s="851"/>
      <c r="I3" s="851"/>
      <c r="J3" s="851"/>
      <c r="K3" s="1"/>
    </row>
    <row r="6" spans="2:15" ht="18.75">
      <c r="B6" s="850" t="s">
        <v>244</v>
      </c>
      <c r="C6" s="850"/>
      <c r="D6" s="850"/>
      <c r="E6" s="850"/>
      <c r="F6" s="850"/>
      <c r="G6" s="850"/>
      <c r="H6" s="850"/>
      <c r="I6" s="850"/>
      <c r="J6" s="850"/>
    </row>
    <row r="8" spans="2:15" ht="18.75">
      <c r="B8" s="34" t="s">
        <v>13</v>
      </c>
      <c r="C8" s="34" t="s">
        <v>16</v>
      </c>
      <c r="D8" s="34" t="s">
        <v>17</v>
      </c>
      <c r="E8" s="34" t="s">
        <v>22</v>
      </c>
      <c r="F8" s="34" t="s">
        <v>228</v>
      </c>
      <c r="G8" s="34" t="s">
        <v>422</v>
      </c>
      <c r="H8" s="34" t="s">
        <v>423</v>
      </c>
      <c r="I8" s="34" t="s">
        <v>213</v>
      </c>
      <c r="J8" s="34" t="s">
        <v>231</v>
      </c>
      <c r="K8" s="34" t="s">
        <v>52</v>
      </c>
      <c r="L8" s="34" t="s">
        <v>78</v>
      </c>
    </row>
    <row r="9" spans="2:15">
      <c r="B9" s="43" t="s">
        <v>267</v>
      </c>
      <c r="C9" s="43" t="s">
        <v>267</v>
      </c>
      <c r="D9" s="43" t="s">
        <v>267</v>
      </c>
      <c r="E9" s="43" t="s">
        <v>267</v>
      </c>
      <c r="F9" s="43" t="s">
        <v>267</v>
      </c>
      <c r="G9" s="43"/>
      <c r="H9" s="43"/>
      <c r="I9" s="43" t="s">
        <v>267</v>
      </c>
      <c r="J9" s="43" t="s">
        <v>267</v>
      </c>
      <c r="K9" s="188" t="s">
        <v>267</v>
      </c>
      <c r="L9" s="43" t="s">
        <v>267</v>
      </c>
    </row>
    <row r="10" spans="2:15">
      <c r="B10" s="29" t="s">
        <v>12</v>
      </c>
      <c r="C10" s="29" t="s">
        <v>7</v>
      </c>
      <c r="D10" s="29" t="s">
        <v>5</v>
      </c>
      <c r="E10" s="29" t="s">
        <v>6</v>
      </c>
      <c r="F10" s="29" t="s">
        <v>60</v>
      </c>
      <c r="G10" s="292">
        <v>44197</v>
      </c>
      <c r="H10" s="292">
        <v>44377</v>
      </c>
      <c r="I10" s="29" t="s">
        <v>24</v>
      </c>
      <c r="J10" s="32" t="s">
        <v>29</v>
      </c>
      <c r="K10" s="17" t="s">
        <v>234</v>
      </c>
      <c r="L10" s="43" t="s">
        <v>79</v>
      </c>
    </row>
    <row r="11" spans="2:15">
      <c r="B11" s="29" t="s">
        <v>14</v>
      </c>
      <c r="C11" s="29" t="s">
        <v>2</v>
      </c>
      <c r="D11" s="29" t="s">
        <v>8</v>
      </c>
      <c r="E11" s="29" t="s">
        <v>4</v>
      </c>
      <c r="F11" s="29" t="s">
        <v>61</v>
      </c>
      <c r="G11" s="292">
        <v>44378</v>
      </c>
      <c r="H11" s="292">
        <v>44561</v>
      </c>
      <c r="I11" s="29" t="s">
        <v>25</v>
      </c>
      <c r="J11" s="32" t="s">
        <v>30</v>
      </c>
      <c r="K11" s="17" t="s">
        <v>235</v>
      </c>
      <c r="L11" s="43" t="s">
        <v>80</v>
      </c>
    </row>
    <row r="12" spans="2:15">
      <c r="B12" s="29" t="s">
        <v>15</v>
      </c>
      <c r="D12" s="29" t="s">
        <v>9</v>
      </c>
      <c r="E12" s="29" t="s">
        <v>10</v>
      </c>
      <c r="F12" s="29" t="s">
        <v>62</v>
      </c>
      <c r="G12" s="292">
        <v>44562</v>
      </c>
      <c r="H12" s="292">
        <v>44742</v>
      </c>
      <c r="I12" s="29" t="s">
        <v>26</v>
      </c>
      <c r="J12" s="32" t="s">
        <v>31</v>
      </c>
      <c r="K12" s="17" t="s">
        <v>236</v>
      </c>
      <c r="L12" s="43" t="s">
        <v>81</v>
      </c>
      <c r="O12" s="98"/>
    </row>
    <row r="13" spans="2:15">
      <c r="B13" s="29" t="s">
        <v>50</v>
      </c>
      <c r="D13" s="29" t="s">
        <v>11</v>
      </c>
      <c r="E13" s="30"/>
      <c r="F13" s="29" t="s">
        <v>63</v>
      </c>
      <c r="G13" s="292">
        <v>44743</v>
      </c>
      <c r="H13" s="292">
        <v>44926</v>
      </c>
      <c r="I13" s="29" t="s">
        <v>27</v>
      </c>
      <c r="J13" s="32" t="s">
        <v>32</v>
      </c>
      <c r="K13" s="17" t="s">
        <v>237</v>
      </c>
      <c r="L13" s="43" t="s">
        <v>82</v>
      </c>
      <c r="O13" s="98"/>
    </row>
    <row r="14" spans="2:15">
      <c r="B14" s="29" t="s">
        <v>51</v>
      </c>
      <c r="D14" s="29" t="s">
        <v>18</v>
      </c>
      <c r="F14" s="29" t="s">
        <v>70</v>
      </c>
      <c r="G14" s="292">
        <v>44927</v>
      </c>
      <c r="H14" s="292">
        <v>45107</v>
      </c>
      <c r="I14" s="29" t="s">
        <v>28</v>
      </c>
      <c r="J14" s="32" t="s">
        <v>33</v>
      </c>
      <c r="K14" s="17" t="s">
        <v>214</v>
      </c>
      <c r="L14" s="43" t="s">
        <v>83</v>
      </c>
      <c r="O14" s="98"/>
    </row>
    <row r="15" spans="2:15">
      <c r="D15" s="29" t="s">
        <v>19</v>
      </c>
      <c r="F15" s="29" t="s">
        <v>71</v>
      </c>
      <c r="G15" s="292">
        <v>45108</v>
      </c>
      <c r="H15" s="292">
        <v>45291</v>
      </c>
      <c r="J15" s="32" t="s">
        <v>34</v>
      </c>
      <c r="K15" s="17" t="s">
        <v>40</v>
      </c>
      <c r="L15" s="43" t="s">
        <v>84</v>
      </c>
      <c r="O15" s="98"/>
    </row>
    <row r="16" spans="2:15">
      <c r="D16" s="29" t="s">
        <v>20</v>
      </c>
      <c r="F16" s="29" t="s">
        <v>72</v>
      </c>
      <c r="G16" s="292" t="s">
        <v>424</v>
      </c>
      <c r="H16" s="292" t="s">
        <v>424</v>
      </c>
      <c r="J16" s="32" t="s">
        <v>35</v>
      </c>
      <c r="K16" s="17" t="s">
        <v>41</v>
      </c>
      <c r="L16" s="43" t="s">
        <v>85</v>
      </c>
      <c r="O16" s="98"/>
    </row>
    <row r="17" spans="4:15">
      <c r="D17" s="29" t="s">
        <v>21</v>
      </c>
      <c r="F17" s="29" t="s">
        <v>73</v>
      </c>
      <c r="G17" s="292" t="s">
        <v>424</v>
      </c>
      <c r="H17" s="292" t="s">
        <v>424</v>
      </c>
      <c r="J17" s="32" t="s">
        <v>36</v>
      </c>
      <c r="K17" s="17" t="s">
        <v>42</v>
      </c>
      <c r="L17" s="43" t="s">
        <v>86</v>
      </c>
      <c r="O17" s="98"/>
    </row>
    <row r="18" spans="4:15">
      <c r="D18" s="29" t="s">
        <v>3</v>
      </c>
      <c r="F18" s="29" t="s">
        <v>74</v>
      </c>
      <c r="G18" s="292" t="s">
        <v>424</v>
      </c>
      <c r="H18" s="292" t="s">
        <v>424</v>
      </c>
      <c r="J18" s="32" t="s">
        <v>37</v>
      </c>
      <c r="K18" s="17" t="s">
        <v>43</v>
      </c>
      <c r="L18" s="43" t="s">
        <v>87</v>
      </c>
      <c r="O18" s="98"/>
    </row>
    <row r="19" spans="4:15">
      <c r="D19" s="190" t="s">
        <v>266</v>
      </c>
      <c r="F19" s="29" t="s">
        <v>75</v>
      </c>
      <c r="G19" s="292" t="s">
        <v>424</v>
      </c>
      <c r="H19" s="292" t="s">
        <v>424</v>
      </c>
      <c r="J19" s="32" t="s">
        <v>38</v>
      </c>
      <c r="K19" s="17" t="s">
        <v>44</v>
      </c>
      <c r="L19" s="43" t="s">
        <v>88</v>
      </c>
      <c r="O19" s="98"/>
    </row>
    <row r="20" spans="4:15">
      <c r="D20" s="31"/>
      <c r="F20" s="29" t="s">
        <v>76</v>
      </c>
      <c r="G20" s="292" t="s">
        <v>424</v>
      </c>
      <c r="H20" s="292" t="s">
        <v>424</v>
      </c>
      <c r="J20" s="32" t="s">
        <v>211</v>
      </c>
      <c r="K20" s="17" t="s">
        <v>45</v>
      </c>
      <c r="L20" s="43" t="s">
        <v>89</v>
      </c>
    </row>
    <row r="21" spans="4:15">
      <c r="D21" s="33"/>
      <c r="F21" s="29" t="s">
        <v>229</v>
      </c>
      <c r="G21" s="292" t="s">
        <v>424</v>
      </c>
      <c r="H21" s="292" t="s">
        <v>424</v>
      </c>
      <c r="J21" s="33"/>
      <c r="K21" s="17" t="s">
        <v>47</v>
      </c>
      <c r="L21" s="43" t="s">
        <v>90</v>
      </c>
    </row>
    <row r="22" spans="4:15">
      <c r="J22" s="33"/>
      <c r="K22" s="17" t="s">
        <v>48</v>
      </c>
      <c r="L22" s="43" t="s">
        <v>91</v>
      </c>
    </row>
    <row r="23" spans="4:15">
      <c r="K23" s="17" t="s">
        <v>46</v>
      </c>
      <c r="L23" s="43" t="s">
        <v>92</v>
      </c>
    </row>
    <row r="24" spans="4:15">
      <c r="K24" s="17" t="s">
        <v>239</v>
      </c>
      <c r="L24" s="43" t="s">
        <v>93</v>
      </c>
    </row>
    <row r="25" spans="4:15">
      <c r="K25" s="21"/>
      <c r="L25" s="43" t="s">
        <v>94</v>
      </c>
    </row>
    <row r="26" spans="4:15">
      <c r="K26" s="17" t="s">
        <v>240</v>
      </c>
      <c r="L26" s="43" t="s">
        <v>95</v>
      </c>
    </row>
    <row r="27" spans="4:15">
      <c r="K27" s="17" t="s">
        <v>238</v>
      </c>
      <c r="L27" s="43" t="s">
        <v>96</v>
      </c>
    </row>
    <row r="28" spans="4:15">
      <c r="K28" s="21"/>
      <c r="L28" s="43" t="s">
        <v>97</v>
      </c>
    </row>
    <row r="29" spans="4:15">
      <c r="K29" s="21"/>
      <c r="L29" s="43" t="s">
        <v>98</v>
      </c>
    </row>
    <row r="30" spans="4:15">
      <c r="K30" s="21"/>
      <c r="L30" s="43" t="s">
        <v>99</v>
      </c>
    </row>
    <row r="31" spans="4:15">
      <c r="L31" s="43" t="s">
        <v>100</v>
      </c>
    </row>
    <row r="32" spans="4:15">
      <c r="L32" s="43" t="s">
        <v>101</v>
      </c>
    </row>
    <row r="33" spans="12:12">
      <c r="L33" s="43" t="s">
        <v>102</v>
      </c>
    </row>
    <row r="34" spans="12:12">
      <c r="L34" s="43" t="s">
        <v>103</v>
      </c>
    </row>
    <row r="35" spans="12:12">
      <c r="L35" s="43" t="s">
        <v>104</v>
      </c>
    </row>
    <row r="36" spans="12:12">
      <c r="L36" s="43" t="s">
        <v>104</v>
      </c>
    </row>
    <row r="37" spans="12:12">
      <c r="L37" s="43" t="s">
        <v>105</v>
      </c>
    </row>
    <row r="38" spans="12:12">
      <c r="L38" s="43" t="s">
        <v>106</v>
      </c>
    </row>
    <row r="39" spans="12:12">
      <c r="L39" s="43" t="s">
        <v>107</v>
      </c>
    </row>
    <row r="40" spans="12:12">
      <c r="L40" s="43" t="s">
        <v>108</v>
      </c>
    </row>
    <row r="41" spans="12:12">
      <c r="L41" s="43" t="s">
        <v>109</v>
      </c>
    </row>
    <row r="42" spans="12:12">
      <c r="L42" s="43" t="s">
        <v>110</v>
      </c>
    </row>
    <row r="43" spans="12:12">
      <c r="L43" s="43" t="s">
        <v>111</v>
      </c>
    </row>
    <row r="44" spans="12:12">
      <c r="L44" s="43" t="s">
        <v>112</v>
      </c>
    </row>
    <row r="45" spans="12:12">
      <c r="L45" s="43" t="s">
        <v>113</v>
      </c>
    </row>
    <row r="46" spans="12:12">
      <c r="L46" s="43" t="s">
        <v>114</v>
      </c>
    </row>
    <row r="47" spans="12:12">
      <c r="L47" s="43" t="s">
        <v>115</v>
      </c>
    </row>
    <row r="48" spans="12:12">
      <c r="L48" s="43" t="s">
        <v>116</v>
      </c>
    </row>
    <row r="49" spans="12:12">
      <c r="L49" s="43" t="s">
        <v>117</v>
      </c>
    </row>
    <row r="50" spans="12:12">
      <c r="L50" s="43" t="s">
        <v>118</v>
      </c>
    </row>
    <row r="51" spans="12:12">
      <c r="L51" s="43" t="s">
        <v>119</v>
      </c>
    </row>
    <row r="52" spans="12:12">
      <c r="L52" s="43" t="s">
        <v>120</v>
      </c>
    </row>
    <row r="53" spans="12:12">
      <c r="L53" s="43" t="s">
        <v>121</v>
      </c>
    </row>
    <row r="54" spans="12:12">
      <c r="L54" s="43" t="s">
        <v>122</v>
      </c>
    </row>
    <row r="55" spans="12:12">
      <c r="L55" s="43" t="s">
        <v>123</v>
      </c>
    </row>
    <row r="56" spans="12:12">
      <c r="L56" s="43" t="s">
        <v>124</v>
      </c>
    </row>
    <row r="57" spans="12:12">
      <c r="L57" s="43" t="s">
        <v>125</v>
      </c>
    </row>
    <row r="58" spans="12:12">
      <c r="L58" s="43" t="s">
        <v>126</v>
      </c>
    </row>
    <row r="59" spans="12:12">
      <c r="L59" s="43" t="s">
        <v>127</v>
      </c>
    </row>
    <row r="60" spans="12:12">
      <c r="L60" s="43" t="s">
        <v>128</v>
      </c>
    </row>
    <row r="61" spans="12:12">
      <c r="L61" s="43" t="s">
        <v>129</v>
      </c>
    </row>
    <row r="62" spans="12:12">
      <c r="L62" s="43" t="s">
        <v>130</v>
      </c>
    </row>
    <row r="63" spans="12:12">
      <c r="L63" s="43" t="s">
        <v>131</v>
      </c>
    </row>
    <row r="64" spans="12:12">
      <c r="L64" s="43" t="s">
        <v>132</v>
      </c>
    </row>
    <row r="65" spans="12:12">
      <c r="L65" s="43" t="s">
        <v>133</v>
      </c>
    </row>
    <row r="66" spans="12:12">
      <c r="L66" s="43" t="s">
        <v>134</v>
      </c>
    </row>
    <row r="67" spans="12:12">
      <c r="L67" s="43" t="s">
        <v>135</v>
      </c>
    </row>
    <row r="68" spans="12:12">
      <c r="L68" s="43" t="s">
        <v>136</v>
      </c>
    </row>
    <row r="69" spans="12:12">
      <c r="L69" s="43" t="s">
        <v>137</v>
      </c>
    </row>
    <row r="70" spans="12:12">
      <c r="L70" s="43" t="s">
        <v>138</v>
      </c>
    </row>
    <row r="71" spans="12:12">
      <c r="L71" s="43" t="s">
        <v>139</v>
      </c>
    </row>
    <row r="72" spans="12:12">
      <c r="L72" s="43" t="s">
        <v>140</v>
      </c>
    </row>
    <row r="73" spans="12:12">
      <c r="L73" s="43" t="s">
        <v>141</v>
      </c>
    </row>
    <row r="74" spans="12:12">
      <c r="L74" s="43" t="s">
        <v>142</v>
      </c>
    </row>
    <row r="75" spans="12:12">
      <c r="L75" s="43" t="s">
        <v>143</v>
      </c>
    </row>
    <row r="76" spans="12:12">
      <c r="L76" s="43" t="s">
        <v>144</v>
      </c>
    </row>
    <row r="77" spans="12:12">
      <c r="L77" s="43" t="s">
        <v>145</v>
      </c>
    </row>
    <row r="78" spans="12:12">
      <c r="L78" s="43" t="s">
        <v>146</v>
      </c>
    </row>
    <row r="79" spans="12:12">
      <c r="L79" s="43" t="s">
        <v>147</v>
      </c>
    </row>
    <row r="80" spans="12:12">
      <c r="L80" s="43" t="s">
        <v>148</v>
      </c>
    </row>
    <row r="81" spans="12:12">
      <c r="L81" s="43" t="s">
        <v>149</v>
      </c>
    </row>
    <row r="82" spans="12:12">
      <c r="L82" s="43" t="s">
        <v>150</v>
      </c>
    </row>
    <row r="83" spans="12:12">
      <c r="L83" s="43" t="s">
        <v>151</v>
      </c>
    </row>
    <row r="84" spans="12:12">
      <c r="L84" s="43" t="s">
        <v>152</v>
      </c>
    </row>
    <row r="85" spans="12:12">
      <c r="L85" s="43" t="s">
        <v>153</v>
      </c>
    </row>
    <row r="86" spans="12:12">
      <c r="L86" s="43" t="s">
        <v>154</v>
      </c>
    </row>
    <row r="87" spans="12:12">
      <c r="L87" s="43" t="s">
        <v>155</v>
      </c>
    </row>
    <row r="88" spans="12:12">
      <c r="L88" s="43" t="s">
        <v>156</v>
      </c>
    </row>
    <row r="89" spans="12:12">
      <c r="L89" s="43" t="s">
        <v>157</v>
      </c>
    </row>
    <row r="90" spans="12:12">
      <c r="L90" s="43" t="s">
        <v>158</v>
      </c>
    </row>
    <row r="91" spans="12:12">
      <c r="L91" s="43" t="s">
        <v>159</v>
      </c>
    </row>
    <row r="92" spans="12:12">
      <c r="L92" s="43" t="s">
        <v>160</v>
      </c>
    </row>
    <row r="93" spans="12:12">
      <c r="L93" s="43" t="s">
        <v>161</v>
      </c>
    </row>
    <row r="94" spans="12:12">
      <c r="L94" s="43" t="s">
        <v>162</v>
      </c>
    </row>
    <row r="95" spans="12:12">
      <c r="L95" s="43" t="s">
        <v>163</v>
      </c>
    </row>
    <row r="96" spans="12:12">
      <c r="L96" s="43" t="s">
        <v>164</v>
      </c>
    </row>
    <row r="97" spans="12:12">
      <c r="L97" s="43" t="s">
        <v>165</v>
      </c>
    </row>
    <row r="98" spans="12:12">
      <c r="L98" s="43" t="s">
        <v>166</v>
      </c>
    </row>
    <row r="99" spans="12:12">
      <c r="L99" s="43" t="s">
        <v>167</v>
      </c>
    </row>
    <row r="100" spans="12:12">
      <c r="L100" s="43" t="s">
        <v>168</v>
      </c>
    </row>
    <row r="101" spans="12:12">
      <c r="L101" s="43" t="s">
        <v>169</v>
      </c>
    </row>
    <row r="102" spans="12:12">
      <c r="L102" s="43" t="s">
        <v>170</v>
      </c>
    </row>
    <row r="103" spans="12:12">
      <c r="L103" s="43" t="s">
        <v>171</v>
      </c>
    </row>
    <row r="104" spans="12:12">
      <c r="L104" s="43" t="s">
        <v>172</v>
      </c>
    </row>
    <row r="105" spans="12:12">
      <c r="L105" s="43" t="s">
        <v>173</v>
      </c>
    </row>
    <row r="106" spans="12:12">
      <c r="L106" s="43" t="s">
        <v>174</v>
      </c>
    </row>
    <row r="107" spans="12:12">
      <c r="L107" s="43" t="s">
        <v>175</v>
      </c>
    </row>
    <row r="108" spans="12:12">
      <c r="L108" s="43" t="s">
        <v>176</v>
      </c>
    </row>
    <row r="109" spans="12:12">
      <c r="L109" s="43" t="s">
        <v>177</v>
      </c>
    </row>
    <row r="110" spans="12:12">
      <c r="L110" s="43" t="s">
        <v>178</v>
      </c>
    </row>
    <row r="111" spans="12:12">
      <c r="L111" s="43" t="s">
        <v>49</v>
      </c>
    </row>
    <row r="112" spans="12:12">
      <c r="L112" s="43" t="s">
        <v>179</v>
      </c>
    </row>
    <row r="113" spans="12:12">
      <c r="L113" s="43" t="s">
        <v>180</v>
      </c>
    </row>
    <row r="114" spans="12:12">
      <c r="L114" s="43" t="s">
        <v>181</v>
      </c>
    </row>
    <row r="115" spans="12:12">
      <c r="L115" s="43" t="s">
        <v>182</v>
      </c>
    </row>
    <row r="116" spans="12:12">
      <c r="L116" s="43" t="s">
        <v>183</v>
      </c>
    </row>
    <row r="117" spans="12:12">
      <c r="L117" s="43" t="s">
        <v>184</v>
      </c>
    </row>
    <row r="118" spans="12:12">
      <c r="L118" s="43" t="s">
        <v>185</v>
      </c>
    </row>
    <row r="119" spans="12:12">
      <c r="L119" s="43" t="s">
        <v>186</v>
      </c>
    </row>
    <row r="120" spans="12:12">
      <c r="L120" s="43" t="s">
        <v>187</v>
      </c>
    </row>
    <row r="121" spans="12:12">
      <c r="L121" s="43" t="s">
        <v>188</v>
      </c>
    </row>
    <row r="122" spans="12:12">
      <c r="L122" s="43" t="s">
        <v>189</v>
      </c>
    </row>
    <row r="123" spans="12:12">
      <c r="L123" s="43" t="s">
        <v>190</v>
      </c>
    </row>
    <row r="124" spans="12:12">
      <c r="L124" s="43" t="s">
        <v>191</v>
      </c>
    </row>
    <row r="125" spans="12:12">
      <c r="L125" s="43" t="s">
        <v>192</v>
      </c>
    </row>
    <row r="126" spans="12:12">
      <c r="L126" s="43" t="s">
        <v>193</v>
      </c>
    </row>
    <row r="127" spans="12:12">
      <c r="L127" s="43" t="s">
        <v>194</v>
      </c>
    </row>
    <row r="128" spans="12:12">
      <c r="L128" s="43" t="s">
        <v>195</v>
      </c>
    </row>
    <row r="129" spans="12:12">
      <c r="L129" s="43" t="s">
        <v>196</v>
      </c>
    </row>
    <row r="130" spans="12:12">
      <c r="L130" s="43" t="s">
        <v>197</v>
      </c>
    </row>
    <row r="131" spans="12:12">
      <c r="L131" s="43" t="s">
        <v>198</v>
      </c>
    </row>
    <row r="132" spans="12:12">
      <c r="L132" s="43" t="s">
        <v>199</v>
      </c>
    </row>
    <row r="133" spans="12:12">
      <c r="L133" s="43" t="s">
        <v>200</v>
      </c>
    </row>
    <row r="134" spans="12:12">
      <c r="L134" s="43" t="s">
        <v>201</v>
      </c>
    </row>
    <row r="135" spans="12:12">
      <c r="L135" s="43" t="s">
        <v>202</v>
      </c>
    </row>
    <row r="136" spans="12:12">
      <c r="L136" s="43" t="s">
        <v>203</v>
      </c>
    </row>
    <row r="137" spans="12:12">
      <c r="L137" s="43" t="s">
        <v>204</v>
      </c>
    </row>
    <row r="138" spans="12:12">
      <c r="L138" s="43" t="s">
        <v>205</v>
      </c>
    </row>
    <row r="139" spans="12:12">
      <c r="L139" s="43" t="s">
        <v>206</v>
      </c>
    </row>
    <row r="140" spans="12:12">
      <c r="L140" s="43" t="s">
        <v>207</v>
      </c>
    </row>
    <row r="141" spans="12:12">
      <c r="L141" s="43" t="s">
        <v>208</v>
      </c>
    </row>
    <row r="142" spans="12:12">
      <c r="L142" s="43" t="s">
        <v>209</v>
      </c>
    </row>
    <row r="143" spans="12:12">
      <c r="L143" s="43" t="s">
        <v>210</v>
      </c>
    </row>
    <row r="144" spans="12:12">
      <c r="L144" s="18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6"/>
  <sheetViews>
    <sheetView zoomScale="85" zoomScaleNormal="85" workbookViewId="0">
      <pane xSplit="1" ySplit="1" topLeftCell="B38" activePane="bottomRight" state="frozen"/>
      <selection pane="topRight" activeCell="B1" sqref="B1"/>
      <selection pane="bottomLeft" activeCell="A2" sqref="A2"/>
      <selection pane="bottomRight" activeCell="D16" sqref="D16"/>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298" t="s">
        <v>433</v>
      </c>
      <c r="B1" s="311" t="s">
        <v>431</v>
      </c>
      <c r="C1" s="298" t="s">
        <v>432</v>
      </c>
      <c r="D1" s="298" t="s">
        <v>249</v>
      </c>
      <c r="E1" s="298" t="s">
        <v>444</v>
      </c>
      <c r="F1" s="298" t="s">
        <v>443</v>
      </c>
      <c r="G1" s="312" t="s">
        <v>404</v>
      </c>
    </row>
    <row r="2" spans="1:7" ht="42.75">
      <c r="A2" s="291">
        <v>1</v>
      </c>
      <c r="B2" s="310" t="s">
        <v>426</v>
      </c>
      <c r="C2" s="21" t="s">
        <v>15</v>
      </c>
      <c r="D2" s="536" t="s">
        <v>438</v>
      </c>
      <c r="E2" s="537" t="s">
        <v>439</v>
      </c>
      <c r="F2" s="538" t="s">
        <v>405</v>
      </c>
      <c r="G2" s="539" t="s">
        <v>501</v>
      </c>
    </row>
    <row r="3" spans="1:7" ht="62.25" customHeight="1">
      <c r="A3" s="291">
        <v>2</v>
      </c>
      <c r="B3" s="310" t="s">
        <v>426</v>
      </c>
      <c r="C3" s="21" t="s">
        <v>15</v>
      </c>
      <c r="D3" s="536" t="s">
        <v>437</v>
      </c>
      <c r="E3" s="537" t="s">
        <v>440</v>
      </c>
      <c r="F3" s="538" t="s">
        <v>405</v>
      </c>
      <c r="G3" s="539" t="s">
        <v>501</v>
      </c>
    </row>
    <row r="4" spans="1:7" ht="57">
      <c r="A4" s="291">
        <v>3</v>
      </c>
      <c r="B4" s="310" t="s">
        <v>426</v>
      </c>
      <c r="C4" s="21" t="s">
        <v>429</v>
      </c>
      <c r="D4" s="530" t="s">
        <v>425</v>
      </c>
      <c r="E4" s="531" t="s">
        <v>441</v>
      </c>
      <c r="F4" s="532" t="s">
        <v>405</v>
      </c>
      <c r="G4" s="533" t="s">
        <v>468</v>
      </c>
    </row>
    <row r="5" spans="1:7" ht="42.75">
      <c r="A5" s="291">
        <v>4</v>
      </c>
      <c r="B5" s="310" t="s">
        <v>426</v>
      </c>
      <c r="C5" s="21" t="s">
        <v>429</v>
      </c>
      <c r="D5" s="530" t="s">
        <v>442</v>
      </c>
      <c r="E5" s="531" t="s">
        <v>445</v>
      </c>
      <c r="F5" s="532" t="s">
        <v>446</v>
      </c>
      <c r="G5" s="534" t="s">
        <v>456</v>
      </c>
    </row>
    <row r="6" spans="1:7" ht="42.75">
      <c r="A6" s="291">
        <v>5</v>
      </c>
      <c r="B6" s="310" t="s">
        <v>426</v>
      </c>
      <c r="C6" s="21" t="s">
        <v>429</v>
      </c>
      <c r="D6" s="530" t="s">
        <v>447</v>
      </c>
      <c r="E6" s="531" t="s">
        <v>448</v>
      </c>
      <c r="F6" s="532" t="s">
        <v>446</v>
      </c>
      <c r="G6" s="534" t="s">
        <v>456</v>
      </c>
    </row>
    <row r="7" spans="1:7" ht="42.75">
      <c r="A7" s="291">
        <v>6</v>
      </c>
      <c r="B7" s="310" t="s">
        <v>426</v>
      </c>
      <c r="C7" s="21" t="s">
        <v>429</v>
      </c>
      <c r="D7" s="530" t="s">
        <v>449</v>
      </c>
      <c r="E7" s="535" t="s">
        <v>450</v>
      </c>
      <c r="F7" s="532" t="s">
        <v>446</v>
      </c>
      <c r="G7" s="534" t="s">
        <v>456</v>
      </c>
    </row>
    <row r="8" spans="1:7" ht="57">
      <c r="A8" s="291">
        <v>7</v>
      </c>
      <c r="B8" s="310" t="s">
        <v>427</v>
      </c>
      <c r="C8" s="21" t="s">
        <v>15</v>
      </c>
      <c r="D8" s="536" t="s">
        <v>451</v>
      </c>
      <c r="E8" s="538" t="s">
        <v>452</v>
      </c>
      <c r="F8" s="538" t="s">
        <v>405</v>
      </c>
      <c r="G8" s="539" t="s">
        <v>501</v>
      </c>
    </row>
    <row r="9" spans="1:7" ht="57">
      <c r="A9" s="291">
        <v>8</v>
      </c>
      <c r="B9" s="310" t="s">
        <v>427</v>
      </c>
      <c r="C9" s="21" t="s">
        <v>15</v>
      </c>
      <c r="D9" s="536" t="s">
        <v>436</v>
      </c>
      <c r="E9" s="538" t="s">
        <v>453</v>
      </c>
      <c r="F9" s="538" t="s">
        <v>405</v>
      </c>
      <c r="G9" s="539" t="s">
        <v>500</v>
      </c>
    </row>
    <row r="10" spans="1:7" ht="56.25" customHeight="1">
      <c r="A10" s="291">
        <v>9</v>
      </c>
      <c r="B10" s="310" t="s">
        <v>427</v>
      </c>
      <c r="C10" s="21" t="s">
        <v>429</v>
      </c>
      <c r="D10" s="530" t="s">
        <v>454</v>
      </c>
      <c r="E10" s="532" t="s">
        <v>455</v>
      </c>
      <c r="F10" s="532" t="s">
        <v>446</v>
      </c>
      <c r="G10" s="533" t="s">
        <v>457</v>
      </c>
    </row>
    <row r="11" spans="1:7" ht="55.5" customHeight="1">
      <c r="A11" s="291">
        <v>10</v>
      </c>
      <c r="B11" s="310" t="s">
        <v>427</v>
      </c>
      <c r="C11" s="21" t="s">
        <v>429</v>
      </c>
      <c r="D11" s="530" t="s">
        <v>458</v>
      </c>
      <c r="E11" s="532" t="s">
        <v>459</v>
      </c>
      <c r="F11" s="532" t="s">
        <v>446</v>
      </c>
      <c r="G11" s="533" t="s">
        <v>457</v>
      </c>
    </row>
    <row r="12" spans="1:7" ht="58.5" customHeight="1">
      <c r="A12" s="291">
        <v>11</v>
      </c>
      <c r="B12" s="310" t="s">
        <v>427</v>
      </c>
      <c r="C12" s="21" t="s">
        <v>429</v>
      </c>
      <c r="D12" s="530" t="s">
        <v>460</v>
      </c>
      <c r="E12" s="532" t="s">
        <v>461</v>
      </c>
      <c r="F12" s="532" t="s">
        <v>446</v>
      </c>
      <c r="G12" s="533" t="s">
        <v>457</v>
      </c>
    </row>
    <row r="13" spans="1:7" ht="58.5" customHeight="1">
      <c r="A13" s="291">
        <v>12</v>
      </c>
      <c r="B13" s="310" t="s">
        <v>427</v>
      </c>
      <c r="C13" s="21" t="s">
        <v>429</v>
      </c>
      <c r="D13" s="530" t="s">
        <v>462</v>
      </c>
      <c r="E13" s="532" t="s">
        <v>463</v>
      </c>
      <c r="F13" s="532" t="s">
        <v>405</v>
      </c>
      <c r="G13" s="533" t="s">
        <v>464</v>
      </c>
    </row>
    <row r="14" spans="1:7" ht="99.75">
      <c r="A14" s="291">
        <v>13</v>
      </c>
      <c r="B14" s="310" t="s">
        <v>427</v>
      </c>
      <c r="C14" s="21" t="s">
        <v>429</v>
      </c>
      <c r="D14" s="530" t="s">
        <v>465</v>
      </c>
      <c r="E14" s="532" t="s">
        <v>466</v>
      </c>
      <c r="F14" s="532" t="s">
        <v>405</v>
      </c>
      <c r="G14" s="533" t="s">
        <v>467</v>
      </c>
    </row>
    <row r="15" spans="1:7" ht="75">
      <c r="A15" s="291">
        <v>14</v>
      </c>
      <c r="B15" s="310" t="s">
        <v>428</v>
      </c>
      <c r="C15" s="21" t="s">
        <v>15</v>
      </c>
      <c r="D15" s="536" t="s">
        <v>469</v>
      </c>
      <c r="E15" s="538" t="s">
        <v>470</v>
      </c>
      <c r="F15" s="538" t="s">
        <v>405</v>
      </c>
      <c r="G15" s="539" t="s">
        <v>476</v>
      </c>
    </row>
    <row r="16" spans="1:7" ht="60">
      <c r="A16" s="291">
        <v>15</v>
      </c>
      <c r="B16" s="310" t="s">
        <v>428</v>
      </c>
      <c r="C16" s="21" t="s">
        <v>15</v>
      </c>
      <c r="D16" s="536" t="s">
        <v>471</v>
      </c>
      <c r="E16" s="538" t="s">
        <v>472</v>
      </c>
      <c r="F16" s="538" t="s">
        <v>405</v>
      </c>
      <c r="G16" s="539" t="s">
        <v>477</v>
      </c>
    </row>
    <row r="17" spans="1:7" ht="75">
      <c r="A17" s="291">
        <v>16</v>
      </c>
      <c r="B17" s="310" t="s">
        <v>428</v>
      </c>
      <c r="C17" s="21" t="s">
        <v>15</v>
      </c>
      <c r="D17" s="536" t="s">
        <v>473</v>
      </c>
      <c r="E17" s="538" t="s">
        <v>474</v>
      </c>
      <c r="F17" s="538" t="s">
        <v>405</v>
      </c>
      <c r="G17" s="539" t="s">
        <v>475</v>
      </c>
    </row>
    <row r="18" spans="1:7" ht="80.25" customHeight="1">
      <c r="A18" s="291">
        <v>17</v>
      </c>
      <c r="B18" s="310" t="s">
        <v>428</v>
      </c>
      <c r="C18" s="540" t="s">
        <v>429</v>
      </c>
      <c r="D18" s="530" t="s">
        <v>478</v>
      </c>
      <c r="E18" s="532" t="s">
        <v>479</v>
      </c>
      <c r="F18" s="532" t="s">
        <v>405</v>
      </c>
      <c r="G18" s="533" t="s">
        <v>480</v>
      </c>
    </row>
    <row r="19" spans="1:7" ht="45">
      <c r="A19" s="291">
        <v>18</v>
      </c>
      <c r="B19" s="310" t="s">
        <v>428</v>
      </c>
      <c r="C19" s="21" t="s">
        <v>429</v>
      </c>
      <c r="D19" s="530" t="s">
        <v>481</v>
      </c>
      <c r="E19" s="532" t="s">
        <v>482</v>
      </c>
      <c r="F19" s="532" t="s">
        <v>405</v>
      </c>
      <c r="G19" s="533" t="s">
        <v>483</v>
      </c>
    </row>
    <row r="20" spans="1:7" ht="45">
      <c r="A20" s="291">
        <v>19</v>
      </c>
      <c r="B20" s="310" t="s">
        <v>428</v>
      </c>
      <c r="C20" s="21" t="s">
        <v>429</v>
      </c>
      <c r="D20" s="530" t="s">
        <v>484</v>
      </c>
      <c r="E20" s="532" t="s">
        <v>485</v>
      </c>
      <c r="F20" s="532" t="s">
        <v>405</v>
      </c>
      <c r="G20" s="533" t="s">
        <v>483</v>
      </c>
    </row>
    <row r="21" spans="1:7" ht="60">
      <c r="A21" s="291">
        <v>20</v>
      </c>
      <c r="B21" s="310" t="s">
        <v>428</v>
      </c>
      <c r="C21" s="21" t="s">
        <v>429</v>
      </c>
      <c r="D21" s="530" t="s">
        <v>486</v>
      </c>
      <c r="E21" s="532" t="s">
        <v>487</v>
      </c>
      <c r="F21" s="532" t="s">
        <v>405</v>
      </c>
      <c r="G21" s="533" t="s">
        <v>483</v>
      </c>
    </row>
    <row r="22" spans="1:7" ht="45">
      <c r="A22" s="291">
        <v>21</v>
      </c>
      <c r="B22" s="310" t="s">
        <v>428</v>
      </c>
      <c r="C22" s="21" t="s">
        <v>429</v>
      </c>
      <c r="D22" s="530" t="s">
        <v>488</v>
      </c>
      <c r="E22" s="532" t="s">
        <v>489</v>
      </c>
      <c r="F22" s="532" t="s">
        <v>405</v>
      </c>
      <c r="G22" s="533" t="s">
        <v>483</v>
      </c>
    </row>
    <row r="23" spans="1:7" ht="57">
      <c r="A23" s="291">
        <v>22</v>
      </c>
      <c r="B23" s="310" t="s">
        <v>428</v>
      </c>
      <c r="C23" s="21" t="s">
        <v>429</v>
      </c>
      <c r="D23" s="530" t="s">
        <v>490</v>
      </c>
      <c r="E23" s="532" t="s">
        <v>491</v>
      </c>
      <c r="F23" s="532" t="s">
        <v>405</v>
      </c>
      <c r="G23" s="533" t="s">
        <v>483</v>
      </c>
    </row>
    <row r="24" spans="1:7" ht="48.75" customHeight="1">
      <c r="A24" s="291">
        <v>23</v>
      </c>
      <c r="B24" s="310" t="s">
        <v>428</v>
      </c>
      <c r="C24" s="21" t="s">
        <v>429</v>
      </c>
      <c r="D24" s="530" t="s">
        <v>492</v>
      </c>
      <c r="E24" s="532" t="s">
        <v>493</v>
      </c>
      <c r="F24" s="532" t="s">
        <v>405</v>
      </c>
      <c r="G24" s="533" t="s">
        <v>483</v>
      </c>
    </row>
    <row r="25" spans="1:7" ht="62.25" customHeight="1">
      <c r="A25" s="291">
        <v>24</v>
      </c>
      <c r="B25" s="310" t="s">
        <v>428</v>
      </c>
      <c r="C25" s="21" t="s">
        <v>429</v>
      </c>
      <c r="D25" s="530" t="s">
        <v>494</v>
      </c>
      <c r="E25" s="532" t="s">
        <v>495</v>
      </c>
      <c r="F25" s="532" t="s">
        <v>405</v>
      </c>
      <c r="G25" s="533" t="s">
        <v>496</v>
      </c>
    </row>
    <row r="26" spans="1:7" ht="57">
      <c r="A26" s="291">
        <v>25</v>
      </c>
      <c r="B26" s="313" t="s">
        <v>428</v>
      </c>
      <c r="C26" s="314" t="s">
        <v>429</v>
      </c>
      <c r="D26" s="541" t="s">
        <v>497</v>
      </c>
      <c r="E26" s="542" t="s">
        <v>498</v>
      </c>
      <c r="F26" s="542" t="s">
        <v>405</v>
      </c>
      <c r="G26" s="543" t="s">
        <v>499</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2:O62"/>
  <sheetViews>
    <sheetView showGridLines="0" view="pageBreakPreview" zoomScale="70" zoomScaleNormal="70" zoomScaleSheetLayoutView="70" workbookViewId="0">
      <pane ySplit="2" topLeftCell="A54" activePane="bottomLeft" state="frozen"/>
      <selection activeCell="E22" sqref="E22"/>
      <selection pane="bottomLeft" activeCell="K56" sqref="K56"/>
    </sheetView>
  </sheetViews>
  <sheetFormatPr defaultColWidth="11" defaultRowHeight="15"/>
  <cols>
    <col min="1" max="1" width="3.42578125" style="315" bestFit="1" customWidth="1"/>
    <col min="2" max="2" width="4" customWidth="1"/>
    <col min="3" max="3" width="78.42578125" customWidth="1"/>
    <col min="4" max="4" width="183.5703125" bestFit="1" customWidth="1"/>
    <col min="5" max="5" width="33" bestFit="1" customWidth="1"/>
    <col min="6" max="6" width="40.7109375" bestFit="1" customWidth="1"/>
    <col min="7" max="7" width="2.85546875" customWidth="1"/>
    <col min="8" max="8" width="3"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2" spans="3:8" ht="28.5">
      <c r="C2" s="354" t="str">
        <f>+"Tabel Programatic de Evaluare: "&amp;" "&amp;+IF('Introducerea datelor'!C4="Please Select","",'Introducerea datelor'!C4&amp;" - ")&amp;+IF('Introducerea datelor'!G6="Please Select","",'Introducerea datelor'!G6)</f>
        <v>Tabel Programatic de Evaluare:  Moldova - HIVAIDS / TB</v>
      </c>
      <c r="D2" s="354"/>
      <c r="E2" s="354"/>
      <c r="F2" s="354"/>
    </row>
    <row r="3" spans="3:8" ht="28.5">
      <c r="C3" s="108"/>
      <c r="D3" s="108"/>
      <c r="E3" s="108"/>
    </row>
    <row r="5" spans="3:8" ht="23.25">
      <c r="C5" s="322" t="s">
        <v>225</v>
      </c>
      <c r="D5" s="322"/>
      <c r="E5" s="322"/>
      <c r="F5" s="322"/>
      <c r="G5" s="322"/>
      <c r="H5" s="322"/>
    </row>
    <row r="7" spans="3:8" ht="21">
      <c r="C7" s="355" t="s">
        <v>517</v>
      </c>
      <c r="D7" s="355" t="s">
        <v>215</v>
      </c>
      <c r="E7" s="355" t="s">
        <v>216</v>
      </c>
      <c r="F7" s="355" t="s">
        <v>250</v>
      </c>
      <c r="G7" s="356"/>
      <c r="H7" s="357"/>
    </row>
    <row r="8" spans="3:8" ht="85.5">
      <c r="C8" s="335" t="str">
        <f>+'Introducerea datelor'!B27</f>
        <v>F1: Bugetul și debursările de către Fondul Global</v>
      </c>
      <c r="D8" s="358" t="s">
        <v>268</v>
      </c>
      <c r="E8" s="332" t="s">
        <v>251</v>
      </c>
      <c r="F8" s="332" t="s">
        <v>269</v>
      </c>
      <c r="G8" s="333"/>
      <c r="H8" s="334"/>
    </row>
    <row r="9" spans="3:8" ht="71.25">
      <c r="C9" s="335" t="str">
        <f>+'Introducerea datelor'!B36</f>
        <v>F2: Bugetul și cheltuielile actuale după Obiectivele Grantului</v>
      </c>
      <c r="D9" s="353" t="s">
        <v>259</v>
      </c>
      <c r="E9" s="332" t="s">
        <v>253</v>
      </c>
      <c r="F9" s="332" t="s">
        <v>269</v>
      </c>
      <c r="G9" s="333"/>
      <c r="H9" s="334"/>
    </row>
    <row r="10" spans="3:8" ht="156.75">
      <c r="C10" s="335" t="str">
        <f>+'Introducerea datelor'!B55</f>
        <v>F3: Debursări și cheltuieli</v>
      </c>
      <c r="D10" s="353" t="s">
        <v>270</v>
      </c>
      <c r="E10" s="332" t="s">
        <v>260</v>
      </c>
      <c r="F10" s="332" t="s">
        <v>252</v>
      </c>
      <c r="G10" s="333"/>
      <c r="H10" s="334"/>
    </row>
    <row r="11" spans="3:8" ht="174.75">
      <c r="C11" s="335" t="str">
        <f>+'Introducerea datelor'!B64</f>
        <v xml:space="preserve">F4: Ultima perioadă de raportare și debursare a RP </v>
      </c>
      <c r="D11" s="353" t="s">
        <v>273</v>
      </c>
      <c r="E11" s="332" t="s">
        <v>261</v>
      </c>
      <c r="F11" s="332" t="s">
        <v>219</v>
      </c>
      <c r="G11" s="333"/>
      <c r="H11" s="334"/>
    </row>
    <row r="12" spans="3:8">
      <c r="C12" s="360"/>
      <c r="D12" s="359"/>
      <c r="E12" s="359"/>
      <c r="F12" s="359"/>
      <c r="G12" s="359"/>
      <c r="H12" s="359"/>
    </row>
    <row r="13" spans="3:8">
      <c r="D13" s="349"/>
      <c r="E13" s="349"/>
      <c r="F13" s="349"/>
      <c r="G13" s="349"/>
      <c r="H13" s="349"/>
    </row>
    <row r="14" spans="3:8">
      <c r="D14" s="349"/>
      <c r="E14" s="349"/>
      <c r="F14" s="349"/>
      <c r="G14" s="349"/>
      <c r="H14" s="349"/>
    </row>
    <row r="15" spans="3:8">
      <c r="D15" s="349"/>
      <c r="E15" s="349"/>
      <c r="F15" s="349"/>
      <c r="G15" s="349"/>
      <c r="H15" s="349"/>
    </row>
    <row r="16" spans="3:8" ht="23.25">
      <c r="C16" s="322" t="s">
        <v>226</v>
      </c>
      <c r="D16" s="322"/>
      <c r="E16" s="322"/>
      <c r="F16" s="322"/>
      <c r="G16" s="322"/>
      <c r="H16" s="322"/>
    </row>
    <row r="18" spans="2:8" ht="21">
      <c r="C18" s="350" t="s">
        <v>517</v>
      </c>
      <c r="D18" s="350" t="s">
        <v>215</v>
      </c>
      <c r="E18" s="350" t="s">
        <v>216</v>
      </c>
      <c r="F18" s="350" t="s">
        <v>217</v>
      </c>
      <c r="G18" s="351"/>
      <c r="H18" s="352"/>
    </row>
    <row r="19" spans="2:8" ht="99.75">
      <c r="C19" s="335" t="str">
        <f>+'Introducerea datelor'!B75</f>
        <v xml:space="preserve">M1: Statutul Condițiilor Precedente și a Acțiunilor Prestabilite în Timp </v>
      </c>
      <c r="D19" s="353" t="s">
        <v>224</v>
      </c>
      <c r="E19" s="332" t="s">
        <v>254</v>
      </c>
      <c r="F19" s="332" t="s">
        <v>255</v>
      </c>
      <c r="G19" s="333"/>
      <c r="H19" s="334"/>
    </row>
    <row r="20" spans="2:8" ht="43.5">
      <c r="C20" s="335" t="str">
        <f>+'Introducerea datelor'!B82</f>
        <v xml:space="preserve">M2: Statutul pozițiilor cheie a RP </v>
      </c>
      <c r="D20" s="353" t="s">
        <v>271</v>
      </c>
      <c r="E20" s="332" t="s">
        <v>221</v>
      </c>
      <c r="F20" s="332" t="s">
        <v>220</v>
      </c>
      <c r="G20" s="333"/>
      <c r="H20" s="334"/>
    </row>
    <row r="21" spans="2:8" ht="102.75">
      <c r="C21" s="335" t="str">
        <f>+'Introducerea datelor'!B87</f>
        <v xml:space="preserve">M3: Aranjamente contractuale (SR) </v>
      </c>
      <c r="D21" s="332" t="s">
        <v>0</v>
      </c>
      <c r="E21" s="332" t="s">
        <v>256</v>
      </c>
      <c r="F21" s="332" t="s">
        <v>257</v>
      </c>
      <c r="G21" s="333"/>
      <c r="H21" s="334"/>
    </row>
    <row r="22" spans="2:8" ht="42.75">
      <c r="C22" s="335" t="str">
        <f>+'Introducerea datelor'!B92</f>
        <v>M4: Numărul rapoartelor complete recepționate la timp</v>
      </c>
      <c r="D22" s="332" t="s">
        <v>274</v>
      </c>
      <c r="E22" s="332" t="s">
        <v>262</v>
      </c>
      <c r="F22" s="332" t="s">
        <v>222</v>
      </c>
      <c r="G22" s="333"/>
      <c r="H22" s="334"/>
    </row>
    <row r="23" spans="2:8" ht="102.75">
      <c r="C23" s="340" t="str">
        <f>+'Introducerea datelor'!B98</f>
        <v xml:space="preserve">M5: Bugetul și Procurarea produselor medicale, echipamentului medical, medicamentelor și produselor farmaceutice </v>
      </c>
      <c r="D23" s="331" t="s">
        <v>263</v>
      </c>
      <c r="E23" s="343" t="s">
        <v>218</v>
      </c>
      <c r="F23" s="343" t="s">
        <v>223</v>
      </c>
      <c r="G23" s="344"/>
      <c r="H23" s="345"/>
    </row>
    <row r="24" spans="2:8" ht="29.25">
      <c r="C24" s="341"/>
      <c r="D24" s="342" t="s">
        <v>258</v>
      </c>
      <c r="E24" s="346"/>
      <c r="F24" s="346"/>
      <c r="G24" s="347"/>
      <c r="H24" s="348"/>
    </row>
    <row r="25" spans="2:8" ht="142.5">
      <c r="C25" s="335" t="str">
        <f>+'Introducerea datelor'!B111</f>
        <v>M6: Diferență între stocul curent și stocul de siguranță</v>
      </c>
      <c r="D25" s="336" t="s">
        <v>275</v>
      </c>
      <c r="E25" s="337" t="s">
        <v>264</v>
      </c>
      <c r="F25" s="337" t="s">
        <v>265</v>
      </c>
      <c r="G25" s="338"/>
      <c r="H25" s="339"/>
    </row>
    <row r="29" spans="2:8" ht="18.75">
      <c r="C29" s="121"/>
    </row>
    <row r="30" spans="2:8" ht="23.25">
      <c r="C30" s="322" t="s">
        <v>410</v>
      </c>
      <c r="D30" s="322"/>
      <c r="E30" s="322"/>
      <c r="F30" s="322"/>
      <c r="G30" s="322"/>
      <c r="H30" s="322"/>
    </row>
    <row r="32" spans="2:8" ht="15.75">
      <c r="B32" s="118"/>
      <c r="C32" s="323" t="s">
        <v>249</v>
      </c>
      <c r="D32" s="324" t="s">
        <v>430</v>
      </c>
      <c r="E32" s="316" t="s">
        <v>403</v>
      </c>
      <c r="F32" s="316" t="s">
        <v>404</v>
      </c>
      <c r="G32" s="317"/>
      <c r="H32" s="318"/>
    </row>
    <row r="33" spans="1:8" ht="28.5">
      <c r="A33" s="315">
        <v>1</v>
      </c>
      <c r="B33" s="557" t="s">
        <v>426</v>
      </c>
      <c r="C33" s="299" t="str">
        <f>IFERROR(VLOOKUP(A33,Table1[],4,0),"")</f>
        <v>TB I-3(M): Rata mortalităţii prin TB la 100,000 populație</v>
      </c>
      <c r="D33" s="305" t="str">
        <f>IFERROR(VLOOKUP(A33,Table1[],5,0),"")</f>
        <v xml:space="preserve">Numărător: Numărul de decese cauzate de TB (toate formele) înregistrate, într-o anumită perioadă, la 100,000 populație                                                                                                                                                     Numitor: Numărul total al populației în țară x 100,000 </v>
      </c>
      <c r="E33" s="300" t="str">
        <f>IFERROR(VLOOKUP(A33,Table1[],6,0),"")</f>
        <v xml:space="preserve">Colectat anual </v>
      </c>
      <c r="F33" s="300" t="str">
        <f>IFERROR(VLOOKUP(A33,Table1[],7,0),"")</f>
        <v>Sistemul R&amp;R TB/ Rapoarte anuale/ SYME TB</v>
      </c>
      <c r="G33" s="303"/>
      <c r="H33" s="304"/>
    </row>
    <row r="34" spans="1:8" ht="30">
      <c r="A34" s="315">
        <v>2</v>
      </c>
      <c r="B34" s="557"/>
      <c r="C34" s="299" t="str">
        <f>IFERROR(VLOOKUP(A34,Table1[],4,0),"")</f>
        <v xml:space="preserve">TB I-4(M): Prevalența RR-TB și/sau MDR-TB printre cazurile noi de tuberculoză </v>
      </c>
      <c r="D34" s="305" t="str">
        <f>IFERROR(VLOOKUP(A34,Indicatori!$A$2:$E$26,5,0),"")</f>
        <v>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v>
      </c>
      <c r="E34" s="300" t="str">
        <f>IFERROR(VLOOKUP(A34,Table1[],6,0),"")</f>
        <v xml:space="preserve">Colectat anual </v>
      </c>
      <c r="F34" s="300" t="str">
        <f>IFERROR(VLOOKUP(A34,Table1[],7,0),"")</f>
        <v>Sistemul R&amp;R TB/ Rapoarte anuale/ SYME TB</v>
      </c>
      <c r="G34" s="308"/>
      <c r="H34" s="309"/>
    </row>
    <row r="35" spans="1:8" ht="42.75">
      <c r="A35" s="315">
        <v>3</v>
      </c>
      <c r="B35" s="557"/>
      <c r="C35" s="299" t="str">
        <f>IFERROR(VLOOKUP(A35,Table1[],4,0),"")</f>
        <v>HIV I-4: Mortalitatea asociată cu SIDA la 100,000 populaţie</v>
      </c>
      <c r="D35" s="305" t="str">
        <f>IFERROR(VLOOKUP(A35,Indicatori!$A$2:$E$26,5,0),"")</f>
        <v xml:space="preserve">Numărător: Numărul estimat de decese cauzate de HIV/ SIDA, într-o anumită perioadă de timp (date - generate de SPECTRUM)                                                                                                                                     Numitor: Numărul total al populației indiferent de statutul HIV (per 100 000 persoane)                                              
                                </v>
      </c>
      <c r="E35" s="300" t="str">
        <f>IFERROR(VLOOKUP(A35,Table1[],6,0),"")</f>
        <v xml:space="preserve">Colectat anual </v>
      </c>
      <c r="F35" s="300" t="str">
        <f>IFERROR(VLOOKUP(A35,Table1[],7,0),"")</f>
        <v xml:space="preserve">Estimări SPECTRUM
</v>
      </c>
      <c r="G35" s="306"/>
      <c r="H35" s="307"/>
    </row>
    <row r="36" spans="1:8" ht="71.25">
      <c r="A36" s="315">
        <v>4</v>
      </c>
      <c r="B36" s="557"/>
      <c r="C36" s="299" t="str">
        <f>IFERROR(VLOOKUP(A36,Table1[],4,0),"")</f>
        <v xml:space="preserve">HIV I-9a⁽ᴹ⁾: Procentul BSB care trăiesc cu HIV </v>
      </c>
      <c r="D36" s="305" t="str">
        <f>IFERROR(VLOOKUP(A36,Indicatori!$A$2:$E$26,5,0),"")</f>
        <v>Numărător: Numărul de BSB care au rezultat HIV pozitiv                                                                                                             Numitor: Numărul de BSB testați pentru HIV</v>
      </c>
      <c r="E36" s="300" t="str">
        <f>IFERROR(VLOOKUP(A36,Table1[],6,0),"")</f>
        <v>Studiu Integrat Bio-Comportamental (IBBS)</v>
      </c>
      <c r="F36" s="300" t="str">
        <f>IFERROR(VLOOKUP(A36,Table1[],7,0),"")</f>
        <v xml:space="preserve">
Următorul IBBS urmează a fi realizat în a. 2024 (în afara perioadei curente de implementare)
</v>
      </c>
      <c r="G36" s="306"/>
      <c r="H36" s="307"/>
    </row>
    <row r="37" spans="1:8" ht="71.25">
      <c r="A37" s="315">
        <v>5</v>
      </c>
      <c r="B37" s="557"/>
      <c r="C37" s="299" t="str">
        <f>IFERROR(VLOOKUP(A37,Table1[],4,0),"")</f>
        <v>HIV I-10⁽ᴹ⁾: Procentul LS care trăiesc cu HIV</v>
      </c>
      <c r="D37" s="305" t="str">
        <f>IFERROR(VLOOKUP(A37,Indicatori!$A$2:$E$26,5,0),"")</f>
        <v xml:space="preserve">Numărător: Numărul de LS care au rezultat HIV pozitiv                                                                                                             Numitor: Numărul de LS testați pentru HIV                                                                       </v>
      </c>
      <c r="E37" s="300" t="str">
        <f>IFERROR(VLOOKUP(A37,Table1[],6,0),"")</f>
        <v>Studiu Integrat Bio-Comportamental (IBBS)</v>
      </c>
      <c r="F37" s="300" t="str">
        <f>IFERROR(VLOOKUP(A37,Table1[],7,0),"")</f>
        <v xml:space="preserve">
Următorul IBBS urmează a fi realizat în a. 2024 (în afara perioadei curente de implementare)
</v>
      </c>
      <c r="G37" s="306"/>
      <c r="H37" s="307"/>
    </row>
    <row r="38" spans="1:8" ht="71.25">
      <c r="A38" s="315">
        <v>6</v>
      </c>
      <c r="B38" s="557"/>
      <c r="C38" s="299" t="str">
        <f>IFERROR(VLOOKUP(A38,Table1[],4,0),"")</f>
        <v>HIV I-11⁽ᴹ⁾: Procentul consumatorilor de droguri injectabile care trăiesc cu HIV</v>
      </c>
      <c r="D38" s="305" t="str">
        <f>IFERROR(VLOOKUP(A38,Indicatori!$A$2:$E$26,5,0),"")</f>
        <v>Numărător: Numărul de CDI care au rezultat HIV pozitiv                                                                                                             Numitor: Numărul de CDI testați pentru HIV</v>
      </c>
      <c r="E38" s="300" t="str">
        <f>IFERROR(VLOOKUP(A38,Table1[],6,0),"")</f>
        <v>Studiu Integrat Bio-Comportamental (IBBS)</v>
      </c>
      <c r="F38" s="300" t="str">
        <f>IFERROR(VLOOKUP(A38,Table1[],7,0),"")</f>
        <v xml:space="preserve">
Următorul IBBS urmează a fi realizat în a. 2024 (în afara perioadei curente de implementare)
</v>
      </c>
      <c r="G38" s="306"/>
      <c r="H38" s="307"/>
    </row>
    <row r="39" spans="1:8" ht="15.75">
      <c r="B39" s="119"/>
      <c r="C39" s="323" t="str">
        <f>IFERROR(VLOOKUP(A39,Table1[],4,0),"")</f>
        <v/>
      </c>
      <c r="D39" s="324" t="str">
        <f>IFERROR(VLOOKUP(A39,Indicatori!$A$2:$E$26,5,0),"")</f>
        <v/>
      </c>
      <c r="E39" s="316" t="str">
        <f>IFERROR(VLOOKUP(A39,Table1[],6,0),"")</f>
        <v/>
      </c>
      <c r="F39" s="316" t="str">
        <f>IFERROR(VLOOKUP(A39,Table1[],7,0),"")</f>
        <v/>
      </c>
      <c r="G39" s="317"/>
      <c r="H39" s="318"/>
    </row>
    <row r="40" spans="1:8" ht="30">
      <c r="A40" s="315">
        <v>7</v>
      </c>
      <c r="B40" s="557" t="s">
        <v>427</v>
      </c>
      <c r="C40" s="299" t="str">
        <f>IFERROR(VLOOKUP(A40,Table1[],4,0),"")</f>
        <v>TB O-4(M): Rata succesului tratamentului pacienților cu RR TB și/sau MDR-TB</v>
      </c>
      <c r="D40" s="305" t="str">
        <f>IFERROR(VLOOKUP(A40,Indicatori!$A$2:$E$26,5,0),"")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40" s="300" t="str">
        <f>IFERROR(VLOOKUP(A40,Table1[],6,0),"")</f>
        <v xml:space="preserve">Colectat anual </v>
      </c>
      <c r="F40" s="300" t="str">
        <f>IFERROR(VLOOKUP(A40,Table1[],7,0),"")</f>
        <v>Sistemul R&amp;R TB/ Rapoarte anuale/ SYME TB</v>
      </c>
      <c r="G40" s="303"/>
      <c r="H40" s="304"/>
    </row>
    <row r="41" spans="1:8" ht="42.75">
      <c r="A41" s="315">
        <v>8</v>
      </c>
      <c r="B41" s="557"/>
      <c r="C41" s="299" t="str">
        <f>IFERROR(VLOOKUP(A41,Table1[],4,0),"")</f>
        <v>TB O-5(M): Rata de acoperire cu tratament antituberculos</v>
      </c>
      <c r="D41" s="305" t="str">
        <f>IFERROR(VLOOKUP(A41,Indicatori!$A$2:$E$26,5,0),"")</f>
        <v>Numărător: Numărul de cazuri noi și recidive notificate și acoperite cu tratament,  într-o anumită perioadă
Numitor: Numărul estimat de cazuri TB din același an (toate formele TB - bacteriologic confirmate și diagnosticate clinic)</v>
      </c>
      <c r="E41" s="300" t="str">
        <f>IFERROR(VLOOKUP(A41,Table1[],6,0),"")</f>
        <v xml:space="preserve">Colectat anual </v>
      </c>
      <c r="F41" s="300" t="str">
        <f>IFERROR(VLOOKUP(A41,Table1[],7,0),"")</f>
        <v>Sistemul R&amp;R TB/ Rapoarte anuale/ SYME TB
Raportul anual al OMS (WHO Global TB)</v>
      </c>
      <c r="G41" s="303"/>
      <c r="H41" s="304"/>
    </row>
    <row r="42" spans="1:8" ht="42.75">
      <c r="A42" s="315">
        <v>9</v>
      </c>
      <c r="B42" s="557"/>
      <c r="C42" s="299" t="str">
        <f>IFERROR(VLOOKUP(A42,Table1[],4,0),"")</f>
        <v>HIV O-4a⁽ᴹ⁾: Procentul BSB care raportează utilizarea prezervativului în timpul ultimului act de sex anal cu un partener de sex masculin</v>
      </c>
      <c r="D42" s="305" t="str">
        <f>IFERROR(VLOOKUP(A42,Indicatori!$A$2:$E$26,5,0),"")</f>
        <v>Numărător: Numărul de BSB care au raportat utilizarea prezervativului, în timpul ultimului act de sex anal cu un partener ocazional, în ultimele 6 luni                                                                                                  Numitor: Numărul de BSB care au raportat practicarea sexului anal cu un partener de sex masculin, în ultimele 6 luni</v>
      </c>
      <c r="E42" s="300" t="str">
        <f>IFERROR(VLOOKUP(A42,Table1[],6,0),"")</f>
        <v>Studiu Integrat Bio-Comportamental (IBBS)</v>
      </c>
      <c r="F42" s="300" t="str">
        <f>IFERROR(VLOOKUP(A42,Table1[],7,0),"")</f>
        <v>Următorul IBBS urmează a fi realizat în a. 2024 (în afara perioadei curente de implementare)</v>
      </c>
      <c r="G42" s="303"/>
      <c r="H42" s="302"/>
    </row>
    <row r="43" spans="1:8" ht="42.75">
      <c r="A43" s="315">
        <v>10</v>
      </c>
      <c r="B43" s="557"/>
      <c r="C43" s="299" t="str">
        <f>IFERROR(VLOOKUP(A43,Table1[],4,0),"")</f>
        <v>HIV O-5⁽ᴹ⁾: Procentul LS care raportează utilizarea prezervativului cu ultimul lor client</v>
      </c>
      <c r="D43" s="305" t="str">
        <f>IFERROR(VLOOKUP(A43,Indicatori!$A$2:$E$26,5,0),"")</f>
        <v>Numărător: Numărul de LS care au raportat utilizarea prezervativului cu ultimul lor client
Numitor: Numărul de LS care au raportat practicarea sexului comercial în ultimele 12 luni</v>
      </c>
      <c r="E43" s="300" t="str">
        <f>IFERROR(VLOOKUP(A43,Table1[],6,0),"")</f>
        <v>Studiu Integrat Bio-Comportamental (IBBS)</v>
      </c>
      <c r="F43" s="300" t="str">
        <f>IFERROR(VLOOKUP(A43,Table1[],7,0),"")</f>
        <v>Următorul IBBS urmează a fi realizat în a. 2024 (în afara perioadei curente de implementare)</v>
      </c>
      <c r="G43" s="301"/>
      <c r="H43" s="302"/>
    </row>
    <row r="44" spans="1:8" ht="42.75">
      <c r="A44" s="315">
        <v>11</v>
      </c>
      <c r="B44" s="557"/>
      <c r="C44" s="299" t="str">
        <f>IFERROR(VLOOKUP(A44,Table1[],4,0),"")</f>
        <v>HIV O-6⁽ᴹ⁾: Procentul CDI care raportează utilizarea setului pentru injectare steril la ultima lor injectare</v>
      </c>
      <c r="D44" s="305" t="str">
        <f>IFERROR(VLOOKUP(A44,Indicatori!$A$2:$E$26,5,0),"")</f>
        <v>Numărător: Numărul de CDI care au raportat utilizarea setului pentru injectare steril, la ultima consumare de droguri injectabile
Numitor: Numărul de CDI care au raportat consumarea de droguri injectabile în ultima lună</v>
      </c>
      <c r="E44" s="300" t="str">
        <f>IFERROR(VLOOKUP(A44,Table1[],6,0),"")</f>
        <v>Studiu Integrat Bio-Comportamental (IBBS)</v>
      </c>
      <c r="F44" s="300" t="str">
        <f>IFERROR(VLOOKUP(A44,Table1[],7,0),"")</f>
        <v>Următorul IBBS urmează a fi realizat în a. 2024 (în afara perioadei curente de implementare)</v>
      </c>
      <c r="G44" s="301"/>
      <c r="H44" s="302"/>
    </row>
    <row r="45" spans="1:8" ht="30">
      <c r="A45" s="315">
        <v>12</v>
      </c>
      <c r="B45" s="557"/>
      <c r="C45" s="299" t="str">
        <f>IFERROR(VLOOKUP(A45,Table1[],4,0),"")</f>
        <v>HIV O-11⁽ᴹ⁾: Procentul PTH care își cunosc statutul HIV la sfîrșitul perioadei de raportare</v>
      </c>
      <c r="D45" s="305" t="str">
        <f>IFERROR(VLOOKUP(A45,Indicatori!$A$2:$E$26,5,0),"")</f>
        <v xml:space="preserve">Numărător: Numărul persoanelor care trăiesc cu HIV, care își cunosc statutul HIV                                                                                 Numitor: Numărul estimat al persoanelor care trăiesc cu HIV (date - generate de SPECTRUM)                 </v>
      </c>
      <c r="E45" s="300" t="str">
        <f>IFERROR(VLOOKUP(A45,Table1[],6,0),"")</f>
        <v xml:space="preserve">Colectat anual </v>
      </c>
      <c r="F45" s="300" t="str">
        <f>IFERROR(VLOOKUP(A45,Table1[],7,0),"")</f>
        <v>Registru pacienți HIV/ Estimări SPECTRUM</v>
      </c>
      <c r="G45" s="301"/>
      <c r="H45" s="302"/>
    </row>
    <row r="46" spans="1:8" ht="71.25">
      <c r="A46" s="315">
        <v>13</v>
      </c>
      <c r="B46" s="362"/>
      <c r="C46" s="299" t="str">
        <f>IFERROR(VLOOKUP(A46,Table1[],4,0),"")</f>
        <v>HIV O-12: Procentul PTH aflați în tratament ARV, care prezintă supresie virală</v>
      </c>
      <c r="D46" s="305" t="str">
        <f>IFERROR(VLOOKUP(A46,Indicatori!$A$2:$E$26,5,0),"")</f>
        <v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v>
      </c>
      <c r="E46" s="300" t="str">
        <f>IFERROR(VLOOKUP(A46,Table1[],6,0),"")</f>
        <v xml:space="preserve">Colectat anual </v>
      </c>
      <c r="F46" s="300" t="str">
        <f>IFERROR(VLOOKUP(A46,Table1[],7,0),"")</f>
        <v xml:space="preserve">Estimări SPECTRUM/ Registru pacienți TARV </v>
      </c>
      <c r="G46" s="301"/>
      <c r="H46" s="302"/>
    </row>
    <row r="47" spans="1:8" ht="45">
      <c r="A47" s="315">
        <v>14</v>
      </c>
      <c r="B47" s="362"/>
      <c r="C47" s="299" t="str">
        <f>IFERROR(VLOOKUP(A47,Table1[],4,0),"")</f>
        <v xml:space="preserve">TCP-1⁽ᴹ⁾: Numărul cazurilor de tuberculoză, toate formele (bacteriologic confirmate și diagnosticate clinic, cazuri noi și recidive) notificate către autoritatea națională, într-o perioadă anumită de timp </v>
      </c>
      <c r="D47" s="305" t="str">
        <f>IFERROR(VLOOKUP(A47,Indicatori!$A$2:$E$26,5,0),"")</f>
        <v xml:space="preserve">Numărător: Numărul cazurilor de tuberculoză, toate formele (bacteriologic confirmate și diagnosticate clinic, cazuri noi și recidive) notificate către autoritatea națională, într-o perioadă anumită de timp                                                                                        Numitor: Nu este   </v>
      </c>
      <c r="E47" s="300" t="str">
        <f>IFERROR(VLOOKUP(A47,Table1[],6,0),"")</f>
        <v xml:space="preserve">Colectat anual </v>
      </c>
      <c r="F47" s="300" t="str">
        <f>IFERROR(VLOOKUP(A47,Table1[],7,0),"")</f>
        <v>Sistemul R&amp;R TB/ Rapoarte anuale; Supraveghere de rutină a DR (Drog Rezistenței)/ SYME TB</v>
      </c>
      <c r="G47" s="301"/>
      <c r="H47" s="302"/>
    </row>
    <row r="48" spans="1:8" ht="15.75">
      <c r="B48" s="119"/>
      <c r="C48" s="323" t="str">
        <f>IFERROR(VLOOKUP(A48,Table1[],4,0),"")</f>
        <v/>
      </c>
      <c r="D48" s="324" t="str">
        <f>IFERROR(VLOOKUP(A48,Indicatori!$A$2:$E$26,5,0),"")</f>
        <v/>
      </c>
      <c r="E48" s="316" t="str">
        <f>IFERROR(VLOOKUP(A48,Table1[],6,0),"")</f>
        <v/>
      </c>
      <c r="F48" s="316" t="str">
        <f>IFERROR(VLOOKUP(A48,Table1[],7,0),"")</f>
        <v/>
      </c>
      <c r="G48" s="317"/>
      <c r="H48" s="318"/>
    </row>
    <row r="49" spans="1:8" ht="42.75">
      <c r="A49" s="315">
        <v>15</v>
      </c>
      <c r="B49" s="557" t="s">
        <v>428</v>
      </c>
      <c r="C49" s="299" t="str">
        <f>IFERROR(VLOOKUP(A49,Table1[],4,0),"")</f>
        <v xml:space="preserve">MDR TB-2⁽ᴹ⁾: Numărul cazurilor cu tuberculoză drog-rezistentă (RR-TB și/sau MDR-TB) notificate către autoritatea națională          </v>
      </c>
      <c r="D49" s="305" t="str">
        <f>IFERROR(VLOOKUP(A49,Indicatori!$A$2:$E$26,5,0),"")</f>
        <v xml:space="preserve">Numărător: Numărul de cazuri de TB DR (RR-TB și/sau MDR-TB), confirmate bacteriologic, notificate către autoritatea națională, în perioada raportată                                                                                             Numitor: Nu este   </v>
      </c>
      <c r="E49" s="300" t="str">
        <f>IFERROR(VLOOKUP(A49,Table1[],6,0),"")</f>
        <v xml:space="preserve">Colectat anual </v>
      </c>
      <c r="F49" s="300" t="str">
        <f>IFERROR(VLOOKUP(A49,Table1[],7,0),"")</f>
        <v>Sistemul R&amp;R TB/ Rapoarte trimestriale; Supraveghere de rutină a DR (Drog Rezistenței)/ SYME TB</v>
      </c>
      <c r="G49" s="303"/>
      <c r="H49" s="304"/>
    </row>
    <row r="50" spans="1:8" ht="45">
      <c r="A50" s="315">
        <v>16</v>
      </c>
      <c r="B50" s="557"/>
      <c r="C50" s="299" t="str">
        <f>IFERROR(VLOOKUP(A50,Table1[],4,0),"")</f>
        <v xml:space="preserve">MDR TB-3⁽ᴹ⁾: Numărul cazurilor cu tuberculoză drog-rezistentă (RR-TB și/sau MDR-TB), confirmate bacteriologic, care au demarat tratamentul DOTS-Plus, în perioada raportată                </v>
      </c>
      <c r="D50" s="305" t="str">
        <f>IFERROR(VLOOKUP(A50,Indicatori!$A$2:$E$26,5,0),"")</f>
        <v xml:space="preserve">Numărător: Numărul cazurilor cu TB DR (RR-TB și/sau MDR-TB), confirmate bacteriologic, care au demarat tratamentul DOTS-Plus în perioada raportată
Numitor: Nu este   </v>
      </c>
      <c r="E50" s="300" t="str">
        <f>IFERROR(VLOOKUP(A50,Table1[],6,0),"")</f>
        <v xml:space="preserve">Colectat anual </v>
      </c>
      <c r="F50" s="300" t="str">
        <f>IFERROR(VLOOKUP(A50,Table1[],7,0),"")</f>
        <v xml:space="preserve">Sistemul R&amp;R TB/ Rapoarte trimestriale/ SYME TB - Modul DOTS Plus </v>
      </c>
      <c r="G50" s="303"/>
      <c r="H50" s="304"/>
    </row>
    <row r="51" spans="1:8" ht="42.75">
      <c r="A51" s="315">
        <v>17</v>
      </c>
      <c r="B51" s="557"/>
      <c r="C51" s="299" t="str">
        <f>IFERROR(VLOOKUP(A51,Table1[],4,0),"")</f>
        <v>TCS-1.1⁽ᴹ⁾: Procentul persoanelor aflate în tratament ARV, din numărul total de PTH, la sfîrșitul perioadei de raportare</v>
      </c>
      <c r="D51" s="305" t="str">
        <f>IFERROR(VLOOKUP(A51,Indicatori!$A$2:$E$26,5,0),"")</f>
        <v>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v>
      </c>
      <c r="E51" s="300" t="str">
        <f>IFERROR(VLOOKUP(A51,Table1[],6,0),"")</f>
        <v xml:space="preserve">Colectat anual </v>
      </c>
      <c r="F51" s="300" t="str">
        <f>IFERROR(VLOOKUP(A51,Table1[],7,0),"")</f>
        <v xml:space="preserve">Registru pacienți TARV/ Estimări SPECTRUM  </v>
      </c>
      <c r="G51" s="303"/>
      <c r="H51" s="304"/>
    </row>
    <row r="52" spans="1:8" ht="57">
      <c r="A52" s="315">
        <v>18</v>
      </c>
      <c r="B52" s="557"/>
      <c r="C52" s="299" t="str">
        <f>IFERROR(VLOOKUP(A52,Table1[],4,0),"")</f>
        <v xml:space="preserve">KP-1a⁽ᴹ⁾: Procentul BSB acoperiți de programele de prevenire HIV - pachet definit de servicii </v>
      </c>
      <c r="D52" s="305" t="str">
        <f>IFERROR(VLOOKUP(A52,Indicatori!$A$2:$E$26,5,0),"")</f>
        <v>Numărător: Numărul de BSB care au beneficiat de un pachet definit de servicii de prevenire HIV                                                   Numitor: Numărul estimat de BSB în Rep. Moldova</v>
      </c>
      <c r="E52" s="300" t="str">
        <f>IFERROR(VLOOKUP(A52,Table1[],6,0),"")</f>
        <v xml:space="preserve">Colectat anual </v>
      </c>
      <c r="F52" s="300" t="str">
        <f>IFERROR(VLOOKUP(A52,Table1[],7,0),"")</f>
        <v xml:space="preserve">Forme de raportare ONG, Registrul Electronic de Evidență a beneficiarilor din GRSI
</v>
      </c>
      <c r="G52" s="301"/>
      <c r="H52" s="302"/>
    </row>
    <row r="53" spans="1:8" ht="57">
      <c r="A53" s="315">
        <v>19</v>
      </c>
      <c r="B53" s="557"/>
      <c r="C53" s="299" t="str">
        <f>IFERROR(VLOOKUP(A53,Table1[],4,0),"")</f>
        <v xml:space="preserve">KP-1c⁽ᴹ⁾: Procentul LS acoperiți de programele de prevenire HIV - pachet definit de servicii </v>
      </c>
      <c r="D53" s="305" t="str">
        <f>IFERROR(VLOOKUP(A53,Indicatori!$A$2:$E$26,5,0),"")</f>
        <v>Numărător: Numărul de LS care au beneficiat de un pachet definit de servicii de prevenire HIV                                                   Numitor: Numărul estimat de LS în Rep. Moldova</v>
      </c>
      <c r="E53" s="300" t="str">
        <f>IFERROR(VLOOKUP(A53,Table1[],6,0),"")</f>
        <v xml:space="preserve">Colectat anual </v>
      </c>
      <c r="F53" s="300" t="str">
        <f>IFERROR(VLOOKUP(A53,Table1[],7,0),"")</f>
        <v xml:space="preserve">Forme de raportare ONG, Registrul Electronic de Evidență a beneficiarilor din GRSI
</v>
      </c>
      <c r="G53" s="301"/>
      <c r="H53" s="302"/>
    </row>
    <row r="54" spans="1:8" ht="57">
      <c r="A54" s="315">
        <v>20</v>
      </c>
      <c r="B54" s="557"/>
      <c r="C54" s="299" t="str">
        <f>IFERROR(VLOOKUP(A54,Table1[],4,0),"")</f>
        <v xml:space="preserve">KP-1d⁽ᴹ⁾: Procentul consumatorilor de droguri injectabile acoperiți de programele de prevenire HIV - pachet definit de servicii </v>
      </c>
      <c r="D54" s="305" t="str">
        <f>IFERROR(VLOOKUP(A54,Indicatori!$A$2:$E$26,5,0),"")</f>
        <v>Numărător: Numărul de CDI care au beneficiat de un pachet definit de servicii de prevenire HIV                                                                                              Numitor: Numărul estimat de CDI în Rep. Moldova</v>
      </c>
      <c r="E54" s="300" t="str">
        <f>IFERROR(VLOOKUP(A54,Table1[],6,0),"")</f>
        <v xml:space="preserve">Colectat anual </v>
      </c>
      <c r="F54" s="300" t="str">
        <f>IFERROR(VLOOKUP(A54,Table1[],7,0),"")</f>
        <v xml:space="preserve">Forme de raportare ONG, Registrul Electronic de Evidență a beneficiarilor din GRSI
</v>
      </c>
      <c r="G54" s="301"/>
      <c r="H54" s="302"/>
    </row>
    <row r="55" spans="1:8" ht="77.25" customHeight="1">
      <c r="A55" s="315">
        <v>21</v>
      </c>
      <c r="B55" s="557"/>
      <c r="C55" s="299" t="str">
        <f>IFERROR(VLOOKUP(A55,Table1[],4,0),"")</f>
        <v>HTS-3a⁽ᴹ⁾: Procentul BSB care au fost testați pentru HIV, în perioada de raportare, și își cunosc rezultatele</v>
      </c>
      <c r="D55" s="305" t="str">
        <f>IFERROR(VLOOKUP(A55,Indicatori!$A$2:$E$26,5,0),"")</f>
        <v>Numărător: Numărul de BSB care au fost testați pentru HIV, în perioada de raportare, și își cunosc rezultatele
Numitor: Numărul estimat de BSB în Rep. Moldova</v>
      </c>
      <c r="E55" s="300" t="str">
        <f>IFERROR(VLOOKUP(A55,Table1[],6,0),"")</f>
        <v xml:space="preserve">Colectat anual </v>
      </c>
      <c r="F55" s="300" t="str">
        <f>IFERROR(VLOOKUP(A55,Table1[],7,0),"")</f>
        <v xml:space="preserve">Forme de raportare ONG, Registrul Electronic de Evidență a beneficiarilor din GRSI
</v>
      </c>
      <c r="G55" s="301"/>
      <c r="H55" s="302"/>
    </row>
    <row r="56" spans="1:8" ht="57">
      <c r="A56" s="315">
        <v>22</v>
      </c>
      <c r="B56" s="557"/>
      <c r="C56" s="299" t="str">
        <f>IFERROR(VLOOKUP(A56,Table1[],4,0),"")</f>
        <v>HTS-3c⁽ᴹ⁾: Procentul LS care au fost testați pentru HIV, în perioada de raportare, și își cunosc rezultatele</v>
      </c>
      <c r="D56" s="305" t="str">
        <f>IFERROR(VLOOKUP(A56,Indicatori!$A$2:$E$26,5,0),"")</f>
        <v xml:space="preserve">Numărător: Numărul de LS care au fost testați pentru HIV, în perioada de raportare, și își cunosc rezultatele
Numitor: Numărul estimat de LS în Rep. Moldova
</v>
      </c>
      <c r="E56" s="300" t="str">
        <f>IFERROR(VLOOKUP(A56,Table1[],6,0),"")</f>
        <v xml:space="preserve">Colectat anual </v>
      </c>
      <c r="F56" s="300" t="str">
        <f>IFERROR(VLOOKUP(A56,Table1[],7,0),"")</f>
        <v xml:space="preserve">Forme de raportare ONG, Registrul Electronic de Evidență a beneficiarilor din GRSI
</v>
      </c>
      <c r="G56" s="301"/>
      <c r="H56" s="302"/>
    </row>
    <row r="57" spans="1:8" ht="57">
      <c r="A57" s="315">
        <v>23</v>
      </c>
      <c r="B57" s="557"/>
      <c r="C57" s="299" t="str">
        <f>IFERROR(VLOOKUP(A57,Table1[],4,0),"")</f>
        <v>HTS-3d⁽ᴹ⁾: Procentul CDI care au fost testați pentru HIV, în perioada de raportare, și își cunosc rezultatele</v>
      </c>
      <c r="D57" s="305" t="str">
        <f>IFERROR(VLOOKUP(A57,Indicatori!$A$2:$E$26,5,0),"")</f>
        <v>Numărător: Numărul de CDI care au fost testați pentru HIV, în perioada de raportare, și își cunosc rezultatele
Numitor: Numărul estimat de CDI în Rep. Moldova</v>
      </c>
      <c r="E57" s="300" t="str">
        <f>IFERROR(VLOOKUP(A57,Table1[],6,0),"")</f>
        <v xml:space="preserve">Colectat anual </v>
      </c>
      <c r="F57" s="300" t="str">
        <f>IFERROR(VLOOKUP(A57,Table1[],7,0),"")</f>
        <v xml:space="preserve">Forme de raportare ONG, Registrul Electronic de Evidență a beneficiarilor din GRSI
</v>
      </c>
      <c r="G57" s="301"/>
      <c r="H57" s="302"/>
    </row>
    <row r="58" spans="1:8" ht="30">
      <c r="A58" s="315">
        <v>24</v>
      </c>
      <c r="B58" s="557"/>
      <c r="C58" s="299" t="str">
        <f>IFERROR(VLOOKUP(A58,Table1[],4,0),"")</f>
        <v>HTS-3f⁽ᴹ⁾: Numărul deținuților care au fost testați pentru HIV, în perioada de raportare, și își cunosc rezultatele</v>
      </c>
      <c r="D58" s="305" t="str">
        <f>IFERROR(VLOOKUP(A58,Indicatori!$A$2:$E$26,5,0),"")</f>
        <v>Numărător: Numărul deținuților care au fost testați pentru HIV, în perioada de raportare, și își cunosc rezultatele
Numitor: Nu este</v>
      </c>
      <c r="E58" s="300" t="str">
        <f>IFERROR(VLOOKUP(A58,Table1[],6,0),"")</f>
        <v xml:space="preserve">Colectat anual </v>
      </c>
      <c r="F58" s="300" t="str">
        <f>IFERROR(VLOOKUP(A58,Table1[],7,0),"")</f>
        <v>Registru pacienți ANP</v>
      </c>
      <c r="G58" s="301"/>
      <c r="H58" s="302"/>
    </row>
    <row r="59" spans="1:8" ht="42.75">
      <c r="A59" s="315">
        <v>25</v>
      </c>
      <c r="B59" s="557"/>
      <c r="C59" s="299" t="str">
        <f>IFERROR(VLOOKUP(A59,Table1[],4,0),"")</f>
        <v>KP-6a: Procentul BSB eligibili, care au inițiat tratamentul oral antiretroviral PrEP, în perioada de raportare</v>
      </c>
      <c r="D59" s="305" t="str">
        <f>IFERROR(VLOOKUP(A59,Indicatori!$A$2:$E$26,5,0),"")</f>
        <v>Numărător: Numărul de BSB eligibili, care au inițiat tratamentul oral antiretroviral PrEP, în perioada de raportare
Numitor: Numărul de BSB eligibili, care au inițiat primar tratamentul oral antiretroviral PrEP, în perioada de raportare</v>
      </c>
      <c r="E59" s="363" t="str">
        <f>IFERROR(VLOOKUP(A59,Table1[],6,0),"")</f>
        <v xml:space="preserve">Colectat anual </v>
      </c>
      <c r="F59" s="300" t="str">
        <f>IFERROR(VLOOKUP(A59,Table1[],7,0),"")</f>
        <v>Registru pacienți TARV pentru PrEP, Registrul Electronic de Evidență a beneficiarilor din GRSI</v>
      </c>
      <c r="G59" s="301"/>
      <c r="H59" s="302"/>
    </row>
    <row r="60" spans="1:8" ht="15.75">
      <c r="C60" s="327" t="s">
        <v>233</v>
      </c>
      <c r="D60" s="328" t="s">
        <v>215</v>
      </c>
      <c r="E60" s="328" t="s">
        <v>216</v>
      </c>
      <c r="F60" s="328" t="s">
        <v>217</v>
      </c>
      <c r="G60" s="329"/>
      <c r="H60" s="330"/>
    </row>
    <row r="61" spans="1:8" ht="15.75">
      <c r="C61" s="116"/>
      <c r="D61" s="295"/>
      <c r="E61" s="295"/>
      <c r="F61" s="294"/>
      <c r="G61" s="295"/>
      <c r="H61" s="296"/>
    </row>
    <row r="62" spans="1:8" ht="31.5">
      <c r="C62" s="325" t="s">
        <v>232</v>
      </c>
      <c r="D62" s="326"/>
      <c r="E62" s="326"/>
      <c r="F62" s="319" t="s">
        <v>227</v>
      </c>
      <c r="G62" s="320"/>
      <c r="H62" s="321"/>
    </row>
  </sheetData>
  <mergeCells count="3">
    <mergeCell ref="B49:B59"/>
    <mergeCell ref="B40:B45"/>
    <mergeCell ref="B33:B38"/>
  </mergeCells>
  <phoneticPr fontId="23" type="noConversion"/>
  <pageMargins left="0.70866141732283472" right="0.70866141732283472" top="0.74803149606299213" bottom="0.74803149606299213" header="0.31496062992125984" footer="0.31496062992125984"/>
  <pageSetup paperSize="9" scale="34"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I180"/>
  <sheetViews>
    <sheetView showGridLines="0" topLeftCell="A67" zoomScaleNormal="100" zoomScaleSheetLayoutView="75" workbookViewId="0">
      <selection activeCell="E103" sqref="E103"/>
    </sheetView>
  </sheetViews>
  <sheetFormatPr defaultColWidth="11" defaultRowHeight="15" outlineLevelRow="1"/>
  <cols>
    <col min="1" max="1" width="5.140625" style="291" customWidth="1"/>
    <col min="2" max="2" width="53" customWidth="1"/>
    <col min="3" max="3" width="23" customWidth="1"/>
    <col min="4" max="4" width="19.140625" customWidth="1"/>
    <col min="5" max="5" width="14.85546875" customWidth="1"/>
    <col min="6" max="6" width="17.42578125" customWidth="1"/>
    <col min="7" max="7" width="16.42578125" customWidth="1"/>
    <col min="8" max="8" width="15.85546875" customWidth="1"/>
    <col min="9" max="9" width="11.85546875" customWidth="1"/>
    <col min="10" max="10" width="13.28515625" customWidth="1"/>
    <col min="11" max="11" width="12" customWidth="1"/>
    <col min="12" max="12" width="15.28515625" customWidth="1"/>
    <col min="13" max="13" width="15.42578125" customWidth="1"/>
    <col min="14" max="14" width="14.28515625" customWidth="1"/>
    <col min="15" max="15" width="20.4257812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3" ht="29.25" customHeight="1"/>
    <row r="2" spans="2:13" ht="15.75" customHeight="1">
      <c r="B2" s="636" t="s">
        <v>277</v>
      </c>
      <c r="C2" s="636"/>
      <c r="D2" s="636"/>
      <c r="E2" s="636"/>
      <c r="F2" s="636"/>
      <c r="G2" s="636"/>
      <c r="H2" s="636"/>
      <c r="I2" s="636"/>
      <c r="J2" s="636"/>
      <c r="K2" s="134"/>
      <c r="L2" s="134"/>
      <c r="M2" s="134"/>
    </row>
    <row r="3" spans="2:13" ht="4.5" customHeight="1"/>
    <row r="4" spans="2:13" ht="34.5" customHeight="1">
      <c r="B4" s="207" t="s">
        <v>278</v>
      </c>
      <c r="C4" s="637" t="s">
        <v>155</v>
      </c>
      <c r="D4" s="638"/>
      <c r="E4" s="626" t="s">
        <v>282</v>
      </c>
      <c r="F4" s="626"/>
      <c r="G4" s="639" t="s">
        <v>421</v>
      </c>
      <c r="H4" s="640"/>
      <c r="I4" s="640"/>
      <c r="J4" s="641"/>
    </row>
    <row r="5" spans="2:13" ht="3" customHeight="1">
      <c r="B5" s="207"/>
      <c r="E5" s="135"/>
      <c r="F5" s="135"/>
    </row>
    <row r="6" spans="2:13">
      <c r="B6" s="207" t="s">
        <v>279</v>
      </c>
      <c r="C6" s="637" t="s">
        <v>420</v>
      </c>
      <c r="D6" s="638"/>
      <c r="E6" s="626" t="s">
        <v>283</v>
      </c>
      <c r="F6" s="626"/>
      <c r="G6" s="383" t="s">
        <v>50</v>
      </c>
      <c r="H6" s="207" t="s">
        <v>284</v>
      </c>
      <c r="I6" s="646">
        <v>23082608</v>
      </c>
      <c r="J6" s="647"/>
    </row>
    <row r="7" spans="2:13" ht="3" customHeight="1">
      <c r="B7" s="207"/>
      <c r="E7" s="135"/>
      <c r="F7" s="135"/>
      <c r="H7" s="207"/>
    </row>
    <row r="8" spans="2:13">
      <c r="B8" s="207" t="s">
        <v>280</v>
      </c>
      <c r="C8" s="637" t="s">
        <v>413</v>
      </c>
      <c r="D8" s="638"/>
      <c r="E8" s="135"/>
      <c r="F8" s="207" t="s">
        <v>285</v>
      </c>
      <c r="G8" s="384" t="s">
        <v>267</v>
      </c>
      <c r="H8" s="207" t="s">
        <v>286</v>
      </c>
      <c r="I8" s="637" t="s">
        <v>416</v>
      </c>
      <c r="J8" s="638"/>
    </row>
    <row r="9" spans="2:13" ht="3" customHeight="1">
      <c r="B9" s="135"/>
      <c r="E9" s="135"/>
      <c r="F9" s="135"/>
    </row>
    <row r="10" spans="2:13">
      <c r="B10" s="207" t="s">
        <v>364</v>
      </c>
      <c r="C10" s="644">
        <v>44197</v>
      </c>
      <c r="D10" s="645"/>
      <c r="E10" s="591" t="s">
        <v>287</v>
      </c>
      <c r="F10" s="592"/>
      <c r="G10" s="637" t="s">
        <v>37</v>
      </c>
      <c r="H10" s="649"/>
      <c r="I10" s="649"/>
      <c r="J10" s="638"/>
    </row>
    <row r="11" spans="2:13" ht="5.25" customHeight="1"/>
    <row r="12" spans="2:13" ht="15" customHeight="1">
      <c r="B12" s="207" t="s">
        <v>281</v>
      </c>
      <c r="C12" s="650" t="s">
        <v>26</v>
      </c>
      <c r="D12" s="650"/>
      <c r="E12" s="591" t="s">
        <v>230</v>
      </c>
      <c r="F12" s="626"/>
      <c r="G12" s="648" t="s">
        <v>414</v>
      </c>
      <c r="H12" s="648"/>
      <c r="I12" s="648"/>
      <c r="J12" s="648"/>
    </row>
    <row r="13" spans="2:13" ht="5.25" customHeight="1"/>
    <row r="14" spans="2:13" ht="15.75" customHeight="1">
      <c r="B14" s="636" t="s">
        <v>288</v>
      </c>
      <c r="C14" s="636"/>
      <c r="D14" s="636"/>
      <c r="E14" s="636"/>
      <c r="F14" s="636"/>
      <c r="G14" s="636"/>
      <c r="H14" s="636"/>
      <c r="I14" s="636"/>
      <c r="J14" s="636"/>
    </row>
    <row r="15" spans="2:13" ht="12" customHeight="1"/>
    <row r="16" spans="2:13" ht="30" customHeight="1">
      <c r="B16" s="207" t="s">
        <v>289</v>
      </c>
      <c r="C16" s="385" t="s">
        <v>61</v>
      </c>
      <c r="D16" s="239" t="s">
        <v>290</v>
      </c>
      <c r="E16" s="297">
        <f>VLOOKUP(C16,Setup!$F$8:$H$21,2,0)</f>
        <v>44378</v>
      </c>
      <c r="F16" s="240" t="s">
        <v>291</v>
      </c>
      <c r="G16" s="297">
        <f>VLOOKUP(C16,Setup!$F$8:$H$21,3,0)</f>
        <v>44561</v>
      </c>
      <c r="H16" s="642" t="s">
        <v>406</v>
      </c>
      <c r="I16" s="643"/>
      <c r="J16" s="293">
        <v>44650</v>
      </c>
    </row>
    <row r="17" spans="2:35" ht="3" customHeight="1"/>
    <row r="18" spans="2:35">
      <c r="B18" s="626" t="s">
        <v>367</v>
      </c>
      <c r="C18" s="592"/>
      <c r="D18" s="635" t="s">
        <v>413</v>
      </c>
      <c r="E18" s="635"/>
      <c r="F18" s="635"/>
    </row>
    <row r="19" spans="2:35" ht="30" customHeight="1"/>
    <row r="20" spans="2:35" ht="21" customHeight="1"/>
    <row r="21" spans="2:35" ht="15.75" customHeight="1">
      <c r="B21" s="636" t="s">
        <v>292</v>
      </c>
      <c r="C21" s="636"/>
      <c r="D21" s="636"/>
      <c r="E21" s="636"/>
      <c r="F21" s="636"/>
      <c r="G21" s="636"/>
      <c r="H21" s="636"/>
      <c r="I21" s="636"/>
      <c r="J21" s="636"/>
    </row>
    <row r="22" spans="2:35">
      <c r="B22" s="135" t="s">
        <v>518</v>
      </c>
    </row>
    <row r="23" spans="2:35" ht="3" customHeight="1"/>
    <row r="24" spans="2:35" ht="15.75" thickBot="1">
      <c r="B24" s="207" t="s">
        <v>293</v>
      </c>
      <c r="C24" s="176"/>
      <c r="D24" s="626" t="s">
        <v>294</v>
      </c>
      <c r="E24" s="626"/>
      <c r="F24" s="177"/>
      <c r="G24" s="626" t="s">
        <v>295</v>
      </c>
      <c r="H24" s="626"/>
      <c r="I24" s="633"/>
      <c r="J24" s="634"/>
    </row>
    <row r="25" spans="2:35" ht="26.25" customHeight="1" thickBot="1">
      <c r="B25" s="44" t="s">
        <v>293</v>
      </c>
      <c r="C25" s="45"/>
      <c r="D25" s="45"/>
      <c r="E25" s="45"/>
      <c r="F25" s="45"/>
      <c r="G25" s="45"/>
      <c r="H25" s="125"/>
      <c r="I25" s="46"/>
      <c r="J25" s="46"/>
      <c r="K25" s="125" t="s">
        <v>407</v>
      </c>
      <c r="L25" s="45"/>
      <c r="M25" s="45"/>
      <c r="N25" s="182"/>
      <c r="O25" s="48"/>
      <c r="AI25" s="64"/>
    </row>
    <row r="26" spans="2:35">
      <c r="B26" s="624" t="s">
        <v>296</v>
      </c>
      <c r="C26" s="625"/>
      <c r="D26" s="386" t="s">
        <v>2</v>
      </c>
      <c r="E26" s="48"/>
      <c r="F26" s="48"/>
      <c r="G26" s="48"/>
      <c r="H26" s="48"/>
      <c r="I26" s="48"/>
      <c r="J26" s="49"/>
      <c r="K26" s="48"/>
      <c r="L26" s="48"/>
      <c r="M26" s="48"/>
      <c r="N26" s="48"/>
      <c r="O26" s="48"/>
      <c r="AI26" s="64"/>
    </row>
    <row r="27" spans="2:35" ht="18.75">
      <c r="B27" s="47" t="s">
        <v>297</v>
      </c>
      <c r="C27" s="48"/>
      <c r="D27" s="48"/>
      <c r="E27" s="48"/>
      <c r="F27" s="48"/>
      <c r="G27" s="48"/>
      <c r="H27" s="48"/>
      <c r="I27" s="48"/>
      <c r="J27" s="49"/>
      <c r="K27" s="48"/>
      <c r="L27" s="48"/>
      <c r="M27" s="48"/>
      <c r="N27" s="48"/>
      <c r="O27" s="48"/>
      <c r="AI27" s="64"/>
    </row>
    <row r="28" spans="2:35" ht="15.75" thickBot="1"/>
    <row r="29" spans="2:35" ht="15.75" thickBot="1">
      <c r="B29" s="627" t="s">
        <v>301</v>
      </c>
      <c r="C29" s="628"/>
      <c r="D29" s="628"/>
      <c r="E29" s="628"/>
      <c r="F29" s="628"/>
      <c r="G29" s="628"/>
      <c r="H29" s="628"/>
      <c r="I29" s="628"/>
      <c r="J29" s="628"/>
      <c r="K29" s="628"/>
      <c r="L29" s="628"/>
      <c r="M29" s="628"/>
      <c r="N29" s="629"/>
      <c r="P29" s="12"/>
      <c r="Q29" s="233"/>
      <c r="R29" s="387">
        <f>+C33</f>
        <v>3047512.08</v>
      </c>
      <c r="S29" s="388"/>
    </row>
    <row r="30" spans="2:35">
      <c r="B30" s="50" t="s">
        <v>298</v>
      </c>
      <c r="C30" s="389" t="s">
        <v>60</v>
      </c>
      <c r="D30" s="389" t="s">
        <v>61</v>
      </c>
      <c r="E30" s="389" t="s">
        <v>62</v>
      </c>
      <c r="F30" s="389" t="s">
        <v>63</v>
      </c>
      <c r="G30" s="389" t="s">
        <v>70</v>
      </c>
      <c r="H30" s="389" t="s">
        <v>71</v>
      </c>
      <c r="I30" s="389" t="s">
        <v>72</v>
      </c>
      <c r="J30" s="389" t="s">
        <v>73</v>
      </c>
      <c r="K30" s="389" t="s">
        <v>74</v>
      </c>
      <c r="L30" s="389" t="s">
        <v>75</v>
      </c>
      <c r="M30" s="389" t="s">
        <v>76</v>
      </c>
      <c r="N30" s="390" t="s">
        <v>229</v>
      </c>
      <c r="O30" s="391" t="s">
        <v>303</v>
      </c>
      <c r="P30" s="12"/>
      <c r="Q30" s="233"/>
      <c r="R30" s="387">
        <f>+D33</f>
        <v>8514420.7699999996</v>
      </c>
      <c r="S30" s="388"/>
    </row>
    <row r="31" spans="2:35">
      <c r="B31" s="132" t="str">
        <f>CONCATENATE("Buget (in ",'Introducerea datelor'!$D$26,")")</f>
        <v>Buget (in €)</v>
      </c>
      <c r="C31" s="241">
        <v>3047512.08</v>
      </c>
      <c r="D31" s="241">
        <v>5466908.6900000004</v>
      </c>
      <c r="E31" s="172"/>
      <c r="F31" s="225"/>
      <c r="G31" s="172"/>
      <c r="H31" s="225"/>
      <c r="I31" s="225"/>
      <c r="J31" s="172"/>
      <c r="K31" s="172"/>
      <c r="L31" s="172"/>
      <c r="M31" s="172"/>
      <c r="N31" s="172"/>
      <c r="O31" s="568">
        <f>LOOKUP(2,1/(C34:N34&gt;0),C34:N34)/I6</f>
        <v>0.31991803439195432</v>
      </c>
      <c r="P31" s="3"/>
      <c r="Q31" s="233"/>
      <c r="R31" s="387">
        <f>+E33</f>
        <v>0</v>
      </c>
      <c r="S31" s="388"/>
    </row>
    <row r="32" spans="2:35">
      <c r="B32" s="50" t="str">
        <f>CONCATENATE("Debursări de către FG (in ", $D$26,")")</f>
        <v>Debursări de către FG (in €)</v>
      </c>
      <c r="C32" s="241">
        <v>5100114.6100000003</v>
      </c>
      <c r="D32" s="241">
        <v>2284427.9700000002</v>
      </c>
      <c r="E32" s="279"/>
      <c r="F32" s="280"/>
      <c r="G32" s="173"/>
      <c r="H32" s="226"/>
      <c r="I32" s="225"/>
      <c r="J32" s="172"/>
      <c r="K32" s="172"/>
      <c r="L32" s="172"/>
      <c r="M32" s="172"/>
      <c r="N32" s="172"/>
      <c r="O32" s="569"/>
      <c r="P32" s="12"/>
      <c r="Q32" s="233"/>
      <c r="R32" s="387">
        <f>+F33</f>
        <v>0</v>
      </c>
      <c r="S32" s="388"/>
    </row>
    <row r="33" spans="2:19">
      <c r="B33" s="51" t="s">
        <v>299</v>
      </c>
      <c r="C33" s="392">
        <f>C31</f>
        <v>3047512.08</v>
      </c>
      <c r="D33" s="227">
        <f>IF(AND(D31=0,D32=0),0,+C33+D31)</f>
        <v>8514420.7699999996</v>
      </c>
      <c r="E33" s="227">
        <f>IF(AND(E31=0,E32=0),0,+D33+E31)</f>
        <v>0</v>
      </c>
      <c r="F33" s="227">
        <f>IF(AND(F31=0,F32=0),0,+E33+F31)</f>
        <v>0</v>
      </c>
      <c r="G33" s="227">
        <f>IF(AND(G31=0,G32=0),0,+F33+G31)</f>
        <v>0</v>
      </c>
      <c r="H33" s="227">
        <f>IF(AND(H31=0,H32=0),0,+G33+H31)</f>
        <v>0</v>
      </c>
      <c r="I33" s="227">
        <f t="shared" ref="I33:N33" si="0">IF(AND(I31=0,I32=0),0,+H33+I31)</f>
        <v>0</v>
      </c>
      <c r="J33" s="174">
        <f t="shared" si="0"/>
        <v>0</v>
      </c>
      <c r="K33" s="174">
        <f t="shared" si="0"/>
        <v>0</v>
      </c>
      <c r="L33" s="174">
        <f t="shared" si="0"/>
        <v>0</v>
      </c>
      <c r="M33" s="174">
        <f t="shared" si="0"/>
        <v>0</v>
      </c>
      <c r="N33" s="174">
        <f t="shared" si="0"/>
        <v>0</v>
      </c>
      <c r="O33" s="569"/>
      <c r="P33" s="3"/>
      <c r="Q33" s="233"/>
      <c r="R33" s="387">
        <f>+G33</f>
        <v>0</v>
      </c>
      <c r="S33" s="388"/>
    </row>
    <row r="34" spans="2:19" ht="15.75" thickBot="1">
      <c r="B34" s="52" t="s">
        <v>300</v>
      </c>
      <c r="C34" s="242">
        <f>C32</f>
        <v>5100114.6100000003</v>
      </c>
      <c r="D34" s="228">
        <f>IF(AND(D31=0,D32=0),0,+C34+D32)</f>
        <v>7384542.5800000001</v>
      </c>
      <c r="E34" s="228">
        <f>IF(AND(E31=0,E32=0),0,+D34+E32)</f>
        <v>0</v>
      </c>
      <c r="F34" s="228">
        <f>IF(AND(F31=0,F32=0),0,+E34+F32)</f>
        <v>0</v>
      </c>
      <c r="G34" s="228">
        <f>IF(AND(G31=0,G32=0),0,+F34+G32)</f>
        <v>0</v>
      </c>
      <c r="H34" s="228">
        <f t="shared" ref="H34:N34" si="1">IF(AND(H31=0,H32=0),0,+G34+H32)</f>
        <v>0</v>
      </c>
      <c r="I34" s="228">
        <f t="shared" si="1"/>
        <v>0</v>
      </c>
      <c r="J34" s="175">
        <f t="shared" si="1"/>
        <v>0</v>
      </c>
      <c r="K34" s="175">
        <f t="shared" si="1"/>
        <v>0</v>
      </c>
      <c r="L34" s="175">
        <f t="shared" si="1"/>
        <v>0</v>
      </c>
      <c r="M34" s="175">
        <f t="shared" si="1"/>
        <v>0</v>
      </c>
      <c r="N34" s="175">
        <f t="shared" si="1"/>
        <v>0</v>
      </c>
      <c r="O34" s="570"/>
      <c r="P34" s="3"/>
      <c r="Q34" s="233"/>
      <c r="R34" s="387">
        <f>+H33</f>
        <v>0</v>
      </c>
      <c r="S34" s="388"/>
    </row>
    <row r="35" spans="2:19">
      <c r="C35" s="161">
        <f>+IF(AND(C30=$C$16,C33&lt;&gt;0),C34/C33,0)</f>
        <v>0</v>
      </c>
      <c r="D35" s="161">
        <f t="shared" ref="D35:N35" si="2">+IF(AND(D30=$C$16,D33&lt;&gt;0),D34/D33,0)</f>
        <v>0.86729829068572095</v>
      </c>
      <c r="E35" s="161">
        <f t="shared" si="2"/>
        <v>0</v>
      </c>
      <c r="F35" s="161">
        <f>+IF(AND(F30=$C$16,F33&lt;&gt;0),F34/F33,0)</f>
        <v>0</v>
      </c>
      <c r="G35" s="161">
        <f t="shared" si="2"/>
        <v>0</v>
      </c>
      <c r="H35" s="161">
        <f t="shared" si="2"/>
        <v>0</v>
      </c>
      <c r="I35" s="161">
        <f t="shared" si="2"/>
        <v>0</v>
      </c>
      <c r="J35" s="161">
        <f t="shared" si="2"/>
        <v>0</v>
      </c>
      <c r="K35" s="161">
        <f t="shared" si="2"/>
        <v>0</v>
      </c>
      <c r="L35" s="161">
        <f t="shared" si="2"/>
        <v>0</v>
      </c>
      <c r="M35" s="161">
        <f t="shared" si="2"/>
        <v>0</v>
      </c>
      <c r="N35" s="161">
        <f t="shared" si="2"/>
        <v>0</v>
      </c>
      <c r="O35" s="102"/>
      <c r="P35" s="272"/>
      <c r="Q35" s="233"/>
      <c r="R35" s="387">
        <f>+I33</f>
        <v>0</v>
      </c>
      <c r="S35" s="388"/>
    </row>
    <row r="36" spans="2:19" ht="18.75">
      <c r="B36" s="47" t="s">
        <v>302</v>
      </c>
      <c r="E36" s="167"/>
      <c r="G36" s="123"/>
      <c r="N36" s="393"/>
      <c r="O36" s="393"/>
    </row>
    <row r="37" spans="2:19" ht="15.75" thickBot="1">
      <c r="M37" s="374"/>
      <c r="N37" s="14"/>
      <c r="O37" s="14"/>
    </row>
    <row r="38" spans="2:19" ht="30" customHeight="1">
      <c r="B38" s="178" t="s">
        <v>507</v>
      </c>
      <c r="C38" s="179" t="str">
        <f>CONCATENATE("Bugetul Cumulativ (în ",'Introducerea datelor'!$D$26,")")</f>
        <v>Bugetul Cumulativ (în €)</v>
      </c>
      <c r="D38" s="180" t="str">
        <f>CONCATENATE("Cheltuielile Cumulative (în ",'Introducerea datelor'!$D$26,")")</f>
        <v>Cheltuielile Cumulative (în €)</v>
      </c>
      <c r="E38" s="278" t="s">
        <v>418</v>
      </c>
      <c r="F38" s="136" t="s">
        <v>419</v>
      </c>
      <c r="J38" s="56"/>
      <c r="K38" s="56"/>
    </row>
    <row r="39" spans="2:19">
      <c r="B39" s="394" t="s">
        <v>519</v>
      </c>
      <c r="C39" s="419">
        <v>107947.42</v>
      </c>
      <c r="D39" s="420">
        <v>56770.89</v>
      </c>
      <c r="E39" s="291">
        <f>C39-D39</f>
        <v>51176.53</v>
      </c>
      <c r="F39" s="283">
        <f>IFERROR(D39/C39,"")</f>
        <v>0.52591243032950674</v>
      </c>
      <c r="G39" s="169"/>
      <c r="J39" s="57"/>
      <c r="K39" s="57"/>
    </row>
    <row r="40" spans="2:19">
      <c r="B40" s="394" t="s">
        <v>502</v>
      </c>
      <c r="C40" s="419">
        <v>2153421.94</v>
      </c>
      <c r="D40" s="420">
        <v>1488132.59</v>
      </c>
      <c r="E40" s="291">
        <f>C40-D40</f>
        <v>665289.34999999986</v>
      </c>
      <c r="F40" s="283">
        <f t="shared" ref="F40:F53" si="3">IFERROR(D40/C40,"")</f>
        <v>0.6910548101873617</v>
      </c>
      <c r="G40" s="169"/>
      <c r="K40" s="57"/>
    </row>
    <row r="41" spans="2:19">
      <c r="B41" s="394" t="s">
        <v>508</v>
      </c>
      <c r="C41" s="419">
        <v>1449973.09</v>
      </c>
      <c r="D41" s="420">
        <v>1078984.07</v>
      </c>
      <c r="E41" s="291">
        <f>C41-D41</f>
        <v>370989.02</v>
      </c>
      <c r="F41" s="283">
        <f>IFERROR(D41/C41,"")</f>
        <v>0.744140755053599</v>
      </c>
      <c r="G41" s="169"/>
      <c r="K41" s="57"/>
    </row>
    <row r="42" spans="2:19">
      <c r="B42" s="394" t="s">
        <v>503</v>
      </c>
      <c r="C42" s="421">
        <v>524558.78</v>
      </c>
      <c r="D42" s="420">
        <v>490366.51</v>
      </c>
      <c r="E42" s="291">
        <f>C42-D42</f>
        <v>34192.270000000019</v>
      </c>
      <c r="F42" s="283">
        <f t="shared" si="3"/>
        <v>0.93481708570391286</v>
      </c>
      <c r="K42" s="57"/>
    </row>
    <row r="43" spans="2:19" ht="30">
      <c r="B43" s="394" t="s">
        <v>509</v>
      </c>
      <c r="C43" s="421">
        <v>132797.98000000001</v>
      </c>
      <c r="D43" s="420">
        <v>43398.86</v>
      </c>
      <c r="E43" s="291">
        <f t="shared" ref="E43:E48" si="4">C43-D43</f>
        <v>89399.12000000001</v>
      </c>
      <c r="F43" s="283">
        <f t="shared" si="3"/>
        <v>0.32680361553692305</v>
      </c>
      <c r="K43" s="57"/>
    </row>
    <row r="44" spans="2:19" ht="30">
      <c r="B44" s="394" t="s">
        <v>510</v>
      </c>
      <c r="C44" s="419">
        <v>133657.26</v>
      </c>
      <c r="D44" s="420">
        <v>125684.42</v>
      </c>
      <c r="E44" s="291">
        <f t="shared" si="4"/>
        <v>7972.8400000000111</v>
      </c>
      <c r="F44" s="283">
        <f t="shared" si="3"/>
        <v>0.9403486200450315</v>
      </c>
      <c r="G44" s="169"/>
      <c r="K44" s="57"/>
    </row>
    <row r="45" spans="2:19" ht="30">
      <c r="B45" s="394" t="s">
        <v>511</v>
      </c>
      <c r="C45" s="421">
        <v>603756.81000000006</v>
      </c>
      <c r="D45" s="420">
        <v>498975.59</v>
      </c>
      <c r="E45" s="291">
        <f t="shared" si="4"/>
        <v>104781.22000000003</v>
      </c>
      <c r="F45" s="283">
        <f>IFERROR(D45/C45,"")</f>
        <v>0.82645128259505674</v>
      </c>
      <c r="K45" s="57"/>
    </row>
    <row r="46" spans="2:19" ht="45">
      <c r="B46" s="394" t="s">
        <v>512</v>
      </c>
      <c r="C46" s="421">
        <v>57692.93</v>
      </c>
      <c r="D46" s="420">
        <v>47752.49</v>
      </c>
      <c r="E46" s="291">
        <f>C46-D46</f>
        <v>9940.4400000000023</v>
      </c>
      <c r="F46" s="283">
        <f>IFERROR(D46/C46,"")</f>
        <v>0.82770089853297446</v>
      </c>
      <c r="K46" s="57"/>
    </row>
    <row r="47" spans="2:19" ht="30">
      <c r="B47" s="394" t="s">
        <v>513</v>
      </c>
      <c r="C47" s="421">
        <v>96668.11</v>
      </c>
      <c r="D47" s="420">
        <v>89599.55</v>
      </c>
      <c r="E47" s="291">
        <f t="shared" si="4"/>
        <v>7068.5599999999977</v>
      </c>
      <c r="F47" s="283">
        <f t="shared" si="3"/>
        <v>0.92687805730348927</v>
      </c>
      <c r="K47" s="57"/>
    </row>
    <row r="48" spans="2:19" ht="30">
      <c r="B48" s="394" t="s">
        <v>514</v>
      </c>
      <c r="C48" s="421">
        <v>33630.65</v>
      </c>
      <c r="D48" s="420">
        <v>12136.19</v>
      </c>
      <c r="E48" s="291">
        <f t="shared" si="4"/>
        <v>21494.46</v>
      </c>
      <c r="F48" s="283">
        <f t="shared" si="3"/>
        <v>0.3608669472638798</v>
      </c>
      <c r="H48" s="374"/>
      <c r="K48" s="57"/>
    </row>
    <row r="49" spans="2:19">
      <c r="B49" s="395" t="s">
        <v>515</v>
      </c>
      <c r="C49" s="421">
        <v>139625.73000000001</v>
      </c>
      <c r="D49" s="420">
        <v>3822.46</v>
      </c>
      <c r="E49" s="291">
        <f>C49-D49</f>
        <v>135803.27000000002</v>
      </c>
      <c r="F49" s="283">
        <f t="shared" si="3"/>
        <v>2.7376472803400918E-2</v>
      </c>
    </row>
    <row r="50" spans="2:19">
      <c r="B50" s="395" t="s">
        <v>516</v>
      </c>
      <c r="C50" s="421">
        <v>428080.11</v>
      </c>
      <c r="D50" s="420">
        <v>328924.02</v>
      </c>
      <c r="E50" s="291"/>
      <c r="F50" s="283">
        <f t="shared" si="3"/>
        <v>0.76837024733524772</v>
      </c>
    </row>
    <row r="51" spans="2:19">
      <c r="B51" s="395" t="s">
        <v>504</v>
      </c>
      <c r="C51" s="421">
        <v>2652609.96</v>
      </c>
      <c r="D51" s="420">
        <v>911166.69</v>
      </c>
      <c r="E51" s="291">
        <f>C51-D51</f>
        <v>1741443.27</v>
      </c>
      <c r="F51" s="283">
        <f t="shared" si="3"/>
        <v>0.34349817867682286</v>
      </c>
    </row>
    <row r="52" spans="2:19">
      <c r="B52" s="396"/>
      <c r="C52" s="422"/>
      <c r="D52" s="423"/>
      <c r="E52" s="291"/>
      <c r="F52" s="283" t="str">
        <f t="shared" si="3"/>
        <v/>
      </c>
    </row>
    <row r="53" spans="2:19" ht="15.75" thickBot="1">
      <c r="B53" s="181" t="s">
        <v>39</v>
      </c>
      <c r="C53" s="275">
        <f>SUM(C39:C52)</f>
        <v>8514420.7700000033</v>
      </c>
      <c r="D53" s="281">
        <f>SUM(D39:D52)</f>
        <v>5175714.3299999982</v>
      </c>
      <c r="E53" s="291">
        <f>C53-D53</f>
        <v>3338706.4400000051</v>
      </c>
      <c r="F53" s="283">
        <f t="shared" si="3"/>
        <v>0.60787626895728297</v>
      </c>
      <c r="N53" s="105"/>
      <c r="O53" s="387"/>
      <c r="P53" s="388"/>
    </row>
    <row r="54" spans="2:19">
      <c r="C54" s="102"/>
      <c r="D54" s="102"/>
      <c r="E54" s="128"/>
      <c r="F54" s="102"/>
      <c r="G54" s="102"/>
      <c r="H54" s="102"/>
      <c r="I54" s="102"/>
      <c r="J54" s="102"/>
      <c r="K54" s="102"/>
      <c r="L54" s="102"/>
      <c r="M54" s="102"/>
      <c r="N54" s="102"/>
      <c r="O54" s="102"/>
      <c r="P54" s="104"/>
      <c r="Q54" s="233"/>
      <c r="R54" s="387"/>
      <c r="S54" s="388"/>
    </row>
    <row r="55" spans="2:19" ht="18.75">
      <c r="B55" s="47" t="s">
        <v>304</v>
      </c>
      <c r="P55" s="388"/>
      <c r="Q55" s="233"/>
      <c r="R55" s="387">
        <f>+J33</f>
        <v>0</v>
      </c>
      <c r="S55" s="388"/>
    </row>
    <row r="56" spans="2:19" ht="15.75" thickBot="1">
      <c r="P56" s="388"/>
      <c r="Q56" s="105"/>
      <c r="R56" s="387">
        <f>+K33</f>
        <v>0</v>
      </c>
      <c r="S56" s="388"/>
    </row>
    <row r="57" spans="2:19" ht="35.25" customHeight="1">
      <c r="B57" s="139"/>
      <c r="C57" s="140" t="s">
        <v>309</v>
      </c>
      <c r="D57" s="140" t="s">
        <v>310</v>
      </c>
      <c r="E57" s="187" t="str">
        <f>CONCATENATE("Total Cheltuit și debursat (în ",D26,")")</f>
        <v>Total Cheltuit și debursat (în €)</v>
      </c>
      <c r="G57" s="234"/>
      <c r="H57" s="136"/>
      <c r="I57" s="133"/>
      <c r="J57" s="133"/>
      <c r="K57" s="133"/>
      <c r="L57" s="133"/>
      <c r="M57" s="133"/>
      <c r="N57" s="133"/>
      <c r="O57" s="388"/>
      <c r="P57" s="105"/>
      <c r="Q57" s="387">
        <f>+M33</f>
        <v>0</v>
      </c>
      <c r="R57" s="388"/>
    </row>
    <row r="58" spans="2:19">
      <c r="B58" s="137" t="s">
        <v>305</v>
      </c>
      <c r="C58" s="544">
        <v>5100114.6100000003</v>
      </c>
      <c r="D58" s="544">
        <v>2284427.9700000002</v>
      </c>
      <c r="E58" s="276">
        <f>+D58+C58</f>
        <v>7384542.5800000001</v>
      </c>
      <c r="G58" s="235"/>
      <c r="H58" s="55"/>
      <c r="I58" s="53"/>
      <c r="J58" s="397"/>
      <c r="K58" s="398"/>
      <c r="L58" s="54"/>
      <c r="M58" s="54"/>
      <c r="N58" s="54"/>
      <c r="O58" s="388"/>
      <c r="P58" s="388"/>
      <c r="Q58" s="388"/>
      <c r="R58" s="388"/>
    </row>
    <row r="59" spans="2:19">
      <c r="B59" s="137" t="s">
        <v>306</v>
      </c>
      <c r="C59" s="424">
        <v>2111576.94</v>
      </c>
      <c r="D59" s="424">
        <f>5175714.33-2111576.94-686171.29</f>
        <v>2377966.1</v>
      </c>
      <c r="E59" s="276">
        <f>+D59+C59</f>
        <v>4489543.04</v>
      </c>
      <c r="G59" s="236"/>
      <c r="H59" s="55"/>
      <c r="I59" s="53"/>
      <c r="J59" s="397"/>
      <c r="K59" s="397"/>
      <c r="L59" s="54"/>
      <c r="M59" s="54"/>
      <c r="N59" s="54"/>
      <c r="O59" s="388"/>
      <c r="P59" s="388"/>
      <c r="Q59" s="388"/>
      <c r="R59" s="388"/>
    </row>
    <row r="60" spans="2:19">
      <c r="B60" s="137" t="s">
        <v>307</v>
      </c>
      <c r="C60" s="424">
        <v>934864.52</v>
      </c>
      <c r="D60" s="424">
        <f>2228921.15-934864.52</f>
        <v>1294056.6299999999</v>
      </c>
      <c r="E60" s="276">
        <f>+D60+C60</f>
        <v>2228921.15</v>
      </c>
      <c r="G60" s="235"/>
      <c r="H60" s="55"/>
      <c r="I60" s="53"/>
      <c r="J60" s="397"/>
      <c r="K60" s="398"/>
      <c r="L60" s="54"/>
      <c r="M60" s="54"/>
      <c r="N60" s="54"/>
    </row>
    <row r="61" spans="2:19" ht="15.75" thickBot="1">
      <c r="B61" s="138" t="s">
        <v>308</v>
      </c>
      <c r="C61" s="545">
        <v>414119.19</v>
      </c>
      <c r="D61" s="545">
        <f>1341432.41-414119.19</f>
        <v>927313.22</v>
      </c>
      <c r="E61" s="277">
        <f>+D61+C61</f>
        <v>1341432.4099999999</v>
      </c>
      <c r="G61" s="237"/>
      <c r="H61" s="399"/>
      <c r="I61" s="55"/>
      <c r="J61" s="55"/>
      <c r="K61" s="55"/>
      <c r="L61" s="54"/>
      <c r="M61" s="54"/>
      <c r="N61" s="54"/>
    </row>
    <row r="62" spans="2:19" ht="15.75" customHeight="1">
      <c r="E62" s="282"/>
    </row>
    <row r="63" spans="2:19">
      <c r="D63" s="131"/>
    </row>
    <row r="64" spans="2:19" ht="18.75">
      <c r="B64" s="47" t="s">
        <v>369</v>
      </c>
    </row>
    <row r="65" spans="2:19" ht="15.75" thickBot="1"/>
    <row r="66" spans="2:19">
      <c r="B66" s="630" t="s">
        <v>311</v>
      </c>
      <c r="C66" s="631"/>
      <c r="D66" s="632"/>
    </row>
    <row r="67" spans="2:19">
      <c r="B67" s="58"/>
      <c r="C67" s="142" t="s">
        <v>312</v>
      </c>
      <c r="D67" s="143" t="s">
        <v>313</v>
      </c>
    </row>
    <row r="68" spans="2:19">
      <c r="B68" s="59" t="s">
        <v>314</v>
      </c>
      <c r="C68" s="425">
        <v>60</v>
      </c>
      <c r="D68" s="426">
        <v>60</v>
      </c>
    </row>
    <row r="69" spans="2:19">
      <c r="B69" s="141" t="s">
        <v>315</v>
      </c>
      <c r="C69" s="425">
        <v>5</v>
      </c>
      <c r="D69" s="426">
        <v>5</v>
      </c>
      <c r="H69" s="55"/>
      <c r="I69" s="55"/>
    </row>
    <row r="70" spans="2:19" ht="15.75" thickBot="1">
      <c r="B70" s="60" t="s">
        <v>316</v>
      </c>
      <c r="C70" s="427">
        <v>5</v>
      </c>
      <c r="D70" s="428">
        <v>5</v>
      </c>
      <c r="H70" s="55"/>
      <c r="I70" s="55"/>
    </row>
    <row r="72" spans="2:19" ht="15.75" thickBot="1">
      <c r="L72" s="183"/>
    </row>
    <row r="73" spans="2:19" ht="19.5" thickBot="1">
      <c r="B73" s="61" t="s">
        <v>318</v>
      </c>
      <c r="C73" s="62"/>
      <c r="D73" s="62"/>
      <c r="E73" s="62"/>
      <c r="F73" s="62"/>
      <c r="G73" s="62" t="s">
        <v>415</v>
      </c>
      <c r="H73" s="201"/>
      <c r="I73" s="62"/>
      <c r="J73" s="63"/>
      <c r="K73" s="63"/>
      <c r="L73" s="184"/>
      <c r="M73" s="185"/>
      <c r="N73" s="400"/>
      <c r="O73" s="400"/>
      <c r="P73" s="400"/>
      <c r="S73" s="64"/>
    </row>
    <row r="74" spans="2:19" ht="18.75">
      <c r="B74" s="65"/>
      <c r="C74" s="64"/>
      <c r="D74" s="64"/>
      <c r="E74" s="64"/>
      <c r="F74" s="64"/>
      <c r="G74" s="64"/>
      <c r="H74" s="64"/>
      <c r="I74" s="64"/>
      <c r="J74" s="64"/>
      <c r="K74" s="66"/>
      <c r="L74" s="66"/>
      <c r="M74" s="64"/>
      <c r="N74" s="400"/>
      <c r="O74" s="400"/>
      <c r="P74" s="400"/>
      <c r="S74" s="64"/>
    </row>
    <row r="75" spans="2:19" ht="18.75">
      <c r="B75" s="65" t="s">
        <v>319</v>
      </c>
      <c r="C75" s="64"/>
      <c r="D75" s="64"/>
      <c r="E75" s="64"/>
      <c r="F75" s="64"/>
      <c r="G75" s="64"/>
      <c r="H75" s="64"/>
      <c r="I75" s="64"/>
      <c r="J75" s="64"/>
      <c r="K75" s="66"/>
      <c r="L75" s="66"/>
      <c r="M75" s="64"/>
      <c r="N75" s="400"/>
      <c r="O75" s="400"/>
      <c r="P75" s="400"/>
      <c r="S75" s="64"/>
    </row>
    <row r="76" spans="2:19" ht="15.75" thickBot="1">
      <c r="C76" s="67"/>
      <c r="D76" s="67"/>
      <c r="E76" s="67"/>
      <c r="F76" s="67"/>
      <c r="G76" s="67"/>
      <c r="I76" s="67"/>
    </row>
    <row r="77" spans="2:19" ht="60">
      <c r="B77" s="586"/>
      <c r="C77" s="587"/>
      <c r="D77" s="68" t="s">
        <v>322</v>
      </c>
      <c r="E77" s="69" t="s">
        <v>323</v>
      </c>
      <c r="F77" s="69" t="s">
        <v>324</v>
      </c>
      <c r="G77" s="70" t="s">
        <v>39</v>
      </c>
      <c r="H77" s="146"/>
      <c r="I77" s="147"/>
    </row>
    <row r="78" spans="2:19">
      <c r="B78" s="651" t="s">
        <v>320</v>
      </c>
      <c r="C78" s="652"/>
      <c r="D78" s="429"/>
      <c r="E78" s="429"/>
      <c r="F78" s="429"/>
      <c r="G78" s="243">
        <f>SUM(D78:F78)</f>
        <v>0</v>
      </c>
      <c r="I78" s="401"/>
      <c r="J78" s="401"/>
      <c r="K78" t="s">
        <v>317</v>
      </c>
    </row>
    <row r="79" spans="2:19" ht="15.75" thickBot="1">
      <c r="B79" s="582" t="s">
        <v>321</v>
      </c>
      <c r="C79" s="583"/>
      <c r="D79" s="430"/>
      <c r="E79" s="430"/>
      <c r="F79" s="430"/>
      <c r="G79" s="73">
        <f>SUM(D79:F79)</f>
        <v>0</v>
      </c>
    </row>
    <row r="82" spans="2:9" ht="18.75">
      <c r="B82" s="65" t="s">
        <v>325</v>
      </c>
    </row>
    <row r="83" spans="2:9" ht="15.75" thickBot="1"/>
    <row r="84" spans="2:9">
      <c r="B84" s="74"/>
      <c r="C84" s="366" t="s">
        <v>326</v>
      </c>
      <c r="D84" s="366" t="s">
        <v>327</v>
      </c>
      <c r="E84" s="75" t="s">
        <v>328</v>
      </c>
      <c r="I84" s="147"/>
    </row>
    <row r="85" spans="2:9" ht="15.75" thickBot="1">
      <c r="B85" s="76" t="s">
        <v>413</v>
      </c>
      <c r="C85" s="431">
        <v>14</v>
      </c>
      <c r="D85" s="431">
        <v>14</v>
      </c>
      <c r="E85" s="244">
        <f>+C85-D85</f>
        <v>0</v>
      </c>
      <c r="F85" s="124"/>
      <c r="G85" s="129"/>
      <c r="I85" s="401"/>
    </row>
    <row r="87" spans="2:9" ht="18.75">
      <c r="B87" s="65" t="s">
        <v>329</v>
      </c>
    </row>
    <row r="88" spans="2:9" ht="15.75" thickBot="1"/>
    <row r="89" spans="2:9" ht="30">
      <c r="B89" s="74"/>
      <c r="C89" s="366" t="s">
        <v>330</v>
      </c>
      <c r="D89" s="366" t="s">
        <v>331</v>
      </c>
      <c r="E89" s="366" t="s">
        <v>332</v>
      </c>
      <c r="F89" s="366" t="s">
        <v>333</v>
      </c>
      <c r="G89" s="88" t="s">
        <v>334</v>
      </c>
      <c r="H89" s="130"/>
      <c r="I89" s="147"/>
    </row>
    <row r="90" spans="2:9" ht="15.75" thickBot="1">
      <c r="B90" s="76" t="s">
        <v>77</v>
      </c>
      <c r="C90" s="431">
        <v>1</v>
      </c>
      <c r="D90" s="431">
        <v>1</v>
      </c>
      <c r="E90" s="431">
        <v>1</v>
      </c>
      <c r="F90" s="431">
        <v>1</v>
      </c>
      <c r="G90" s="432">
        <v>1</v>
      </c>
      <c r="H90" s="402"/>
    </row>
    <row r="91" spans="2:9">
      <c r="C91" s="245"/>
      <c r="D91" s="245"/>
      <c r="E91" s="245"/>
      <c r="F91" s="245"/>
      <c r="G91" s="245"/>
    </row>
    <row r="92" spans="2:9" ht="18.75">
      <c r="B92" s="65" t="s">
        <v>335</v>
      </c>
    </row>
    <row r="93" spans="2:9" ht="15.75" thickBot="1"/>
    <row r="94" spans="2:9">
      <c r="B94" s="74"/>
      <c r="C94" s="77" t="s">
        <v>338</v>
      </c>
      <c r="D94" s="77" t="s">
        <v>339</v>
      </c>
      <c r="E94" s="78" t="s">
        <v>340</v>
      </c>
    </row>
    <row r="95" spans="2:9">
      <c r="B95" s="71" t="s">
        <v>336</v>
      </c>
      <c r="C95" s="429"/>
      <c r="D95" s="433"/>
      <c r="E95" s="246">
        <f>C95-D95</f>
        <v>0</v>
      </c>
    </row>
    <row r="96" spans="2:9" ht="15.75" thickBot="1">
      <c r="B96" s="72" t="s">
        <v>337</v>
      </c>
      <c r="C96" s="430">
        <v>1</v>
      </c>
      <c r="D96" s="434">
        <v>1</v>
      </c>
      <c r="E96" s="403">
        <f>C96-D96</f>
        <v>0</v>
      </c>
    </row>
    <row r="98" spans="2:14" ht="18.75">
      <c r="B98" s="65" t="s">
        <v>341</v>
      </c>
    </row>
    <row r="99" spans="2:14" ht="15.75" thickBot="1"/>
    <row r="100" spans="2:14">
      <c r="B100" s="107"/>
      <c r="C100" s="404" t="s">
        <v>60</v>
      </c>
      <c r="D100" s="404" t="s">
        <v>61</v>
      </c>
      <c r="E100" s="404" t="s">
        <v>62</v>
      </c>
      <c r="F100" s="404" t="s">
        <v>63</v>
      </c>
      <c r="G100" s="404" t="s">
        <v>70</v>
      </c>
      <c r="H100" s="404" t="s">
        <v>71</v>
      </c>
      <c r="I100" s="404" t="s">
        <v>72</v>
      </c>
      <c r="J100" s="404" t="s">
        <v>73</v>
      </c>
      <c r="K100" s="404" t="s">
        <v>74</v>
      </c>
      <c r="L100" s="404" t="s">
        <v>75</v>
      </c>
      <c r="M100" s="404" t="s">
        <v>76</v>
      </c>
      <c r="N100" s="405" t="s">
        <v>229</v>
      </c>
    </row>
    <row r="101" spans="2:14" ht="15" customHeight="1">
      <c r="B101" s="170" t="s">
        <v>342</v>
      </c>
      <c r="C101" s="435">
        <v>931104.32000000007</v>
      </c>
      <c r="D101" s="435">
        <v>1991185.4</v>
      </c>
      <c r="E101" s="436"/>
      <c r="F101" s="436"/>
      <c r="G101" s="436"/>
      <c r="H101" s="435"/>
      <c r="I101" s="435"/>
      <c r="J101" s="436"/>
      <c r="K101" s="436"/>
      <c r="L101" s="436"/>
      <c r="M101" s="436"/>
      <c r="N101" s="437"/>
    </row>
    <row r="102" spans="2:14" ht="15" customHeight="1">
      <c r="B102" s="170" t="s">
        <v>343</v>
      </c>
      <c r="C102" s="435">
        <v>412674.4182289688</v>
      </c>
      <c r="D102" s="435">
        <v>1275159.3637923682</v>
      </c>
      <c r="E102" s="436"/>
      <c r="F102" s="436"/>
      <c r="G102" s="436"/>
      <c r="H102" s="435"/>
      <c r="I102" s="435"/>
      <c r="J102" s="436"/>
      <c r="K102" s="436"/>
      <c r="L102" s="436"/>
      <c r="M102" s="436"/>
      <c r="N102" s="437"/>
    </row>
    <row r="103" spans="2:14" ht="15" customHeight="1">
      <c r="B103" s="170" t="s">
        <v>344</v>
      </c>
      <c r="C103" s="435">
        <v>199615.16</v>
      </c>
      <c r="D103" s="435">
        <v>814149.43</v>
      </c>
      <c r="E103" s="436"/>
      <c r="F103" s="436"/>
      <c r="G103" s="436"/>
      <c r="H103" s="435"/>
      <c r="I103" s="435"/>
      <c r="J103" s="436"/>
      <c r="K103" s="436"/>
      <c r="L103" s="436"/>
      <c r="M103" s="436"/>
      <c r="N103" s="437"/>
    </row>
    <row r="104" spans="2:14" ht="15" customHeight="1">
      <c r="B104" s="148" t="s">
        <v>345</v>
      </c>
      <c r="C104" s="438">
        <f>C101</f>
        <v>931104.32000000007</v>
      </c>
      <c r="D104" s="439">
        <f>C101+D101</f>
        <v>2922289.7199999997</v>
      </c>
      <c r="E104" s="440"/>
      <c r="F104" s="440"/>
      <c r="G104" s="440"/>
      <c r="H104" s="439"/>
      <c r="I104" s="439"/>
      <c r="J104" s="440"/>
      <c r="K104" s="440"/>
      <c r="L104" s="439"/>
      <c r="M104" s="439"/>
      <c r="N104" s="441"/>
    </row>
    <row r="105" spans="2:14" ht="15" customHeight="1">
      <c r="B105" s="148" t="s">
        <v>346</v>
      </c>
      <c r="C105" s="438">
        <f>C102</f>
        <v>412674.4182289688</v>
      </c>
      <c r="D105" s="439">
        <f>C105+D102</f>
        <v>1687833.782021337</v>
      </c>
      <c r="E105" s="440"/>
      <c r="F105" s="440"/>
      <c r="G105" s="440"/>
      <c r="H105" s="439"/>
      <c r="I105" s="439"/>
      <c r="J105" s="440"/>
      <c r="K105" s="440"/>
      <c r="L105" s="439"/>
      <c r="M105" s="439"/>
      <c r="N105" s="441"/>
    </row>
    <row r="106" spans="2:14" ht="15.75" thickBot="1">
      <c r="B106" s="196" t="s">
        <v>347</v>
      </c>
      <c r="C106" s="442">
        <f>C103</f>
        <v>199615.16</v>
      </c>
      <c r="D106" s="443">
        <f>C106+D103</f>
        <v>1013764.5900000001</v>
      </c>
      <c r="E106" s="444"/>
      <c r="F106" s="444"/>
      <c r="G106" s="444"/>
      <c r="H106" s="443"/>
      <c r="I106" s="443"/>
      <c r="J106" s="444"/>
      <c r="K106" s="444"/>
      <c r="L106" s="443"/>
      <c r="M106" s="443"/>
      <c r="N106" s="445"/>
    </row>
    <row r="107" spans="2:14">
      <c r="J107" s="79"/>
      <c r="K107" s="80"/>
      <c r="M107" s="81"/>
    </row>
    <row r="108" spans="2:14">
      <c r="B108" t="s">
        <v>417</v>
      </c>
      <c r="J108" s="79"/>
      <c r="K108" s="80"/>
      <c r="M108" s="81"/>
    </row>
    <row r="109" spans="2:14">
      <c r="J109" s="79"/>
      <c r="K109" s="81"/>
      <c r="M109" s="81"/>
      <c r="N109" s="102"/>
    </row>
    <row r="110" spans="2:14">
      <c r="N110" s="102"/>
    </row>
    <row r="111" spans="2:14" ht="18.75">
      <c r="B111" s="65" t="s">
        <v>348</v>
      </c>
      <c r="N111" s="102"/>
    </row>
    <row r="112" spans="2:14" ht="15.75" thickBot="1"/>
    <row r="113" spans="2:20" ht="90.75" customHeight="1">
      <c r="B113" s="149" t="s">
        <v>349</v>
      </c>
      <c r="C113" s="150" t="s">
        <v>350</v>
      </c>
      <c r="D113" s="106" t="s">
        <v>351</v>
      </c>
      <c r="E113" s="106" t="s">
        <v>352</v>
      </c>
      <c r="F113" s="406" t="s">
        <v>353</v>
      </c>
      <c r="G113" s="406" t="s">
        <v>354</v>
      </c>
      <c r="H113" s="106" t="s">
        <v>355</v>
      </c>
      <c r="I113" s="106" t="s">
        <v>375</v>
      </c>
      <c r="J113" s="106" t="s">
        <v>356</v>
      </c>
      <c r="K113" s="151" t="s">
        <v>357</v>
      </c>
    </row>
    <row r="114" spans="2:20">
      <c r="B114" s="588" t="s">
        <v>267</v>
      </c>
      <c r="C114" s="407" t="s">
        <v>267</v>
      </c>
      <c r="D114" s="177"/>
      <c r="E114" s="21" t="str">
        <f>IF(ISBLANK(D114),"",D114*30)</f>
        <v/>
      </c>
      <c r="F114" s="408"/>
      <c r="G114" s="168" t="str">
        <f>IF(AND(E114&gt;0,F114&gt;0),(F114*E114),"")</f>
        <v/>
      </c>
      <c r="H114" s="408"/>
      <c r="I114" s="189" t="str">
        <f>IF(AND(G114&gt;0,H114&gt;0),H114/G114,"")</f>
        <v/>
      </c>
      <c r="J114" s="409"/>
      <c r="K114" s="197" t="str">
        <f>IF(AND(I114&gt;0,J114&gt;0),I114-J114,"")</f>
        <v/>
      </c>
    </row>
    <row r="115" spans="2:20">
      <c r="B115" s="589"/>
      <c r="C115" s="407" t="s">
        <v>267</v>
      </c>
      <c r="D115" s="177"/>
      <c r="E115" s="21" t="str">
        <f>IF(ISBLANK(D115),"",D115*30)</f>
        <v/>
      </c>
      <c r="F115" s="408"/>
      <c r="G115" s="168" t="str">
        <f>IF(AND(E115&gt;0,F115&gt;0),(F115*E115),"")</f>
        <v/>
      </c>
      <c r="H115" s="408"/>
      <c r="I115" s="189" t="str">
        <f>IF(AND(G115&gt;0,H115&gt;0),H115/G115,"")</f>
        <v/>
      </c>
      <c r="J115" s="409"/>
      <c r="K115" s="197" t="str">
        <f>IF(AND(I115&gt;0,J115&gt;0),I115-J115,"")</f>
        <v/>
      </c>
    </row>
    <row r="116" spans="2:20">
      <c r="B116" s="589"/>
      <c r="C116" s="407" t="s">
        <v>267</v>
      </c>
      <c r="D116" s="177"/>
      <c r="E116" s="21" t="str">
        <f>IF(ISBLANK(D116),"",D116*30)</f>
        <v/>
      </c>
      <c r="F116" s="408"/>
      <c r="G116" s="168" t="str">
        <f>IF(AND(E116&gt;0,F116&gt;0),(F116*E116),"")</f>
        <v/>
      </c>
      <c r="H116" s="408"/>
      <c r="I116" s="189" t="str">
        <f>IF(AND(G116&gt;0,H116&gt;0),H116/G116,"")</f>
        <v/>
      </c>
      <c r="J116" s="409"/>
      <c r="K116" s="197" t="str">
        <f>IF(AND(I116&gt;0,J116&gt;0),I116-J116,"")</f>
        <v/>
      </c>
    </row>
    <row r="117" spans="2:20" ht="15.75" thickBot="1">
      <c r="B117" s="590"/>
      <c r="C117" s="410" t="s">
        <v>267</v>
      </c>
      <c r="D117" s="411"/>
      <c r="E117" s="193" t="str">
        <f>IF(ISBLANK(D117),"",D117*30)</f>
        <v/>
      </c>
      <c r="F117" s="412"/>
      <c r="G117" s="194" t="str">
        <f>IF(AND(E117&gt;0,F117&gt;0),(F117*E117),"")</f>
        <v/>
      </c>
      <c r="H117" s="412"/>
      <c r="I117" s="195" t="str">
        <f>IF(AND(G117&gt;0,H117&gt;0),H117/G117,"")</f>
        <v/>
      </c>
      <c r="J117" s="413"/>
      <c r="K117" s="198" t="str">
        <f>IF(AND(I117&gt;0,J117&gt;0),I117-J117,"")</f>
        <v/>
      </c>
    </row>
    <row r="119" spans="2:20" ht="15.75" thickBot="1">
      <c r="J119" s="64"/>
      <c r="K119" s="64"/>
    </row>
    <row r="120" spans="2:20" ht="19.5" thickBot="1">
      <c r="B120" s="114" t="s">
        <v>358</v>
      </c>
      <c r="C120" s="82"/>
      <c r="D120" s="82"/>
      <c r="E120" s="83"/>
      <c r="F120" s="83"/>
      <c r="G120" s="83"/>
      <c r="H120" s="120"/>
      <c r="I120" s="115"/>
      <c r="J120" s="159"/>
      <c r="K120" s="160" t="s">
        <v>411</v>
      </c>
      <c r="L120" s="83"/>
      <c r="M120" s="159"/>
      <c r="N120" s="159"/>
      <c r="O120" s="159"/>
      <c r="P120" s="414"/>
    </row>
    <row r="121" spans="2:20" ht="15.75" thickBot="1"/>
    <row r="122" spans="2:20" ht="42.75" customHeight="1">
      <c r="B122" s="653" t="s">
        <v>361</v>
      </c>
      <c r="C122" s="654"/>
      <c r="D122" s="655"/>
      <c r="E122" s="152" t="s">
        <v>434</v>
      </c>
      <c r="F122" s="203" t="s">
        <v>435</v>
      </c>
      <c r="G122" s="117"/>
      <c r="H122" s="415" t="s">
        <v>60</v>
      </c>
      <c r="I122" s="415" t="s">
        <v>61</v>
      </c>
      <c r="J122" s="415" t="s">
        <v>276</v>
      </c>
      <c r="K122" s="415" t="s">
        <v>63</v>
      </c>
      <c r="L122" s="415" t="s">
        <v>70</v>
      </c>
      <c r="M122" s="415" t="s">
        <v>71</v>
      </c>
      <c r="N122" s="415" t="s">
        <v>72</v>
      </c>
      <c r="O122" s="415" t="s">
        <v>73</v>
      </c>
      <c r="P122" s="415" t="s">
        <v>74</v>
      </c>
      <c r="Q122" s="415" t="s">
        <v>75</v>
      </c>
      <c r="R122" s="415" t="s">
        <v>76</v>
      </c>
      <c r="S122" s="416" t="s">
        <v>229</v>
      </c>
      <c r="T122" s="3"/>
    </row>
    <row r="123" spans="2:20" ht="16.5" customHeight="1" outlineLevel="1">
      <c r="B123" s="581" t="str">
        <f>VLOOKUP(T123,Table1[],4,0)</f>
        <v>TB I-3(M): Rata mortalităţii prin TB la 100,000 populație</v>
      </c>
      <c r="C123" s="581"/>
      <c r="D123" s="581"/>
      <c r="E123" s="571" t="str">
        <f>VLOOKUP(T123,Table1[],2,0)</f>
        <v>Indicator de impact</v>
      </c>
      <c r="F123" s="573" t="str">
        <f>VLOOKUP(T123,Table1[],3,0)</f>
        <v>TB</v>
      </c>
      <c r="G123" s="199" t="s">
        <v>359</v>
      </c>
      <c r="H123" s="448">
        <v>5.8</v>
      </c>
      <c r="I123" s="448">
        <v>5.8</v>
      </c>
      <c r="J123" s="447"/>
      <c r="K123" s="446"/>
      <c r="L123" s="448"/>
      <c r="M123" s="446"/>
      <c r="N123" s="446"/>
      <c r="O123" s="446"/>
      <c r="P123" s="446"/>
      <c r="Q123" s="446"/>
      <c r="R123" s="446"/>
      <c r="S123" s="449"/>
      <c r="T123" s="417">
        <v>1</v>
      </c>
    </row>
    <row r="124" spans="2:20" ht="16.5" customHeight="1" outlineLevel="1">
      <c r="B124" s="581"/>
      <c r="C124" s="581"/>
      <c r="D124" s="581"/>
      <c r="E124" s="572"/>
      <c r="F124" s="574"/>
      <c r="G124" s="199" t="s">
        <v>360</v>
      </c>
      <c r="H124" s="461" t="s">
        <v>506</v>
      </c>
      <c r="I124" s="450">
        <v>4.78</v>
      </c>
      <c r="J124" s="450"/>
      <c r="K124" s="450"/>
      <c r="L124" s="450"/>
      <c r="M124" s="450"/>
      <c r="N124" s="450"/>
      <c r="O124" s="450"/>
      <c r="P124" s="450"/>
      <c r="Q124" s="450"/>
      <c r="R124" s="450"/>
      <c r="S124" s="451"/>
      <c r="T124" s="417"/>
    </row>
    <row r="125" spans="2:20" ht="16.5" customHeight="1" outlineLevel="1">
      <c r="B125" s="567" t="str">
        <f>VLOOKUP(T125,Table1[],4,0)</f>
        <v xml:space="preserve">TB I-4(M): Prevalența RR-TB și/sau MDR-TB printre cazurile noi de tuberculoză </v>
      </c>
      <c r="C125" s="567"/>
      <c r="D125" s="567"/>
      <c r="E125" s="577" t="str">
        <f>VLOOKUP(T125,Table1[],2,0)</f>
        <v>Indicator de impact</v>
      </c>
      <c r="F125" s="575" t="str">
        <f>VLOOKUP(T125,Table1[],3,0)</f>
        <v>TB</v>
      </c>
      <c r="G125" s="231" t="s">
        <v>359</v>
      </c>
      <c r="H125" s="550">
        <v>24.29</v>
      </c>
      <c r="I125" s="550">
        <v>24.29</v>
      </c>
      <c r="J125" s="452"/>
      <c r="K125" s="453"/>
      <c r="L125" s="453"/>
      <c r="M125" s="453"/>
      <c r="N125" s="453"/>
      <c r="O125" s="453"/>
      <c r="P125" s="453"/>
      <c r="Q125" s="453"/>
      <c r="R125" s="453"/>
      <c r="S125" s="454"/>
      <c r="T125" s="417">
        <v>2</v>
      </c>
    </row>
    <row r="126" spans="2:20" ht="16.5" customHeight="1" outlineLevel="1">
      <c r="B126" s="567"/>
      <c r="C126" s="567"/>
      <c r="D126" s="567"/>
      <c r="E126" s="578"/>
      <c r="F126" s="576"/>
      <c r="G126" s="231" t="s">
        <v>360</v>
      </c>
      <c r="H126" s="461" t="s">
        <v>506</v>
      </c>
      <c r="I126" s="455">
        <v>22.1</v>
      </c>
      <c r="J126" s="455"/>
      <c r="K126" s="455"/>
      <c r="L126" s="455"/>
      <c r="M126" s="455"/>
      <c r="N126" s="455"/>
      <c r="O126" s="455"/>
      <c r="P126" s="455"/>
      <c r="Q126" s="455"/>
      <c r="R126" s="455"/>
      <c r="S126" s="456"/>
      <c r="T126" s="417"/>
    </row>
    <row r="127" spans="2:20" ht="16.5" customHeight="1" outlineLevel="1">
      <c r="B127" s="581" t="str">
        <f>VLOOKUP(T127,Table1[],4,0)</f>
        <v>HIV I-4: Mortalitatea asociată cu SIDA la 100,000 populaţie</v>
      </c>
      <c r="C127" s="581"/>
      <c r="D127" s="581"/>
      <c r="E127" s="584" t="str">
        <f>VLOOKUP(T127,Table1[],2,0)</f>
        <v>Indicator de impact</v>
      </c>
      <c r="F127" s="573" t="str">
        <f>VLOOKUP(T127,Table1[],3,0)</f>
        <v>HIV</v>
      </c>
      <c r="G127" s="199" t="s">
        <v>359</v>
      </c>
      <c r="H127" s="448">
        <v>9.69</v>
      </c>
      <c r="I127" s="448">
        <v>9.69</v>
      </c>
      <c r="J127" s="457"/>
      <c r="K127" s="458"/>
      <c r="L127" s="458"/>
      <c r="M127" s="459"/>
      <c r="N127" s="459"/>
      <c r="O127" s="459"/>
      <c r="P127" s="459"/>
      <c r="Q127" s="459"/>
      <c r="R127" s="459"/>
      <c r="S127" s="460"/>
      <c r="T127" s="417">
        <v>3</v>
      </c>
    </row>
    <row r="128" spans="2:20" ht="16.5" customHeight="1" outlineLevel="1">
      <c r="B128" s="581"/>
      <c r="C128" s="581"/>
      <c r="D128" s="581"/>
      <c r="E128" s="585"/>
      <c r="F128" s="574"/>
      <c r="G128" s="199" t="s">
        <v>360</v>
      </c>
      <c r="H128" s="461" t="s">
        <v>506</v>
      </c>
      <c r="I128" s="461" t="s">
        <v>506</v>
      </c>
      <c r="J128" s="461"/>
      <c r="K128" s="462"/>
      <c r="L128" s="462"/>
      <c r="M128" s="462"/>
      <c r="N128" s="462"/>
      <c r="O128" s="462"/>
      <c r="P128" s="462"/>
      <c r="Q128" s="462"/>
      <c r="R128" s="462"/>
      <c r="S128" s="463"/>
      <c r="T128" s="417"/>
    </row>
    <row r="129" spans="2:20" ht="16.5" customHeight="1" outlineLevel="1">
      <c r="B129" s="567" t="str">
        <f>VLOOKUP(T129,Table1[],4,0)</f>
        <v xml:space="preserve">HIV I-9a⁽ᴹ⁾: Procentul BSB care trăiesc cu HIV </v>
      </c>
      <c r="C129" s="567"/>
      <c r="D129" s="567"/>
      <c r="E129" s="577" t="str">
        <f>VLOOKUP(T129,Table1[],2,0)</f>
        <v>Indicator de impact</v>
      </c>
      <c r="F129" s="575" t="str">
        <f>VLOOKUP(T129,Table1[],3,0)</f>
        <v>HIV</v>
      </c>
      <c r="G129" s="231" t="s">
        <v>359</v>
      </c>
      <c r="H129" s="453" t="s">
        <v>506</v>
      </c>
      <c r="I129" s="453" t="s">
        <v>506</v>
      </c>
      <c r="J129" s="452"/>
      <c r="K129" s="464"/>
      <c r="L129" s="464"/>
      <c r="M129" s="465"/>
      <c r="N129" s="465"/>
      <c r="O129" s="465"/>
      <c r="P129" s="465"/>
      <c r="Q129" s="465"/>
      <c r="R129" s="465"/>
      <c r="S129" s="454"/>
      <c r="T129" s="417">
        <v>4</v>
      </c>
    </row>
    <row r="130" spans="2:20" ht="16.5" customHeight="1" outlineLevel="1">
      <c r="B130" s="567"/>
      <c r="C130" s="567"/>
      <c r="D130" s="567"/>
      <c r="E130" s="578"/>
      <c r="F130" s="576"/>
      <c r="G130" s="231" t="s">
        <v>360</v>
      </c>
      <c r="H130" s="453" t="s">
        <v>506</v>
      </c>
      <c r="I130" s="453" t="s">
        <v>506</v>
      </c>
      <c r="J130" s="452"/>
      <c r="K130" s="464"/>
      <c r="L130" s="464"/>
      <c r="M130" s="465"/>
      <c r="N130" s="465"/>
      <c r="O130" s="465"/>
      <c r="P130" s="465"/>
      <c r="Q130" s="465"/>
      <c r="R130" s="465"/>
      <c r="S130" s="454"/>
      <c r="T130" s="417"/>
    </row>
    <row r="131" spans="2:20" ht="16.5" customHeight="1" outlineLevel="1">
      <c r="B131" s="606" t="str">
        <f>VLOOKUP(T131,Table1[],4,0)</f>
        <v>HIV I-10⁽ᴹ⁾: Procentul LS care trăiesc cu HIV</v>
      </c>
      <c r="C131" s="606"/>
      <c r="D131" s="606"/>
      <c r="E131" s="563" t="str">
        <f>VLOOKUP(T131,Table1[],2,0)</f>
        <v>Indicator de impact</v>
      </c>
      <c r="F131" s="565" t="str">
        <f>VLOOKUP(T131,Table1[],3,0)</f>
        <v>HIV</v>
      </c>
      <c r="G131" s="192" t="s">
        <v>359</v>
      </c>
      <c r="H131" s="466" t="s">
        <v>506</v>
      </c>
      <c r="I131" s="453" t="s">
        <v>506</v>
      </c>
      <c r="J131" s="466"/>
      <c r="K131" s="467"/>
      <c r="L131" s="467"/>
      <c r="M131" s="467"/>
      <c r="N131" s="467"/>
      <c r="O131" s="467"/>
      <c r="P131" s="467"/>
      <c r="Q131" s="467"/>
      <c r="R131" s="467"/>
      <c r="S131" s="468"/>
      <c r="T131" s="417">
        <v>5</v>
      </c>
    </row>
    <row r="132" spans="2:20" ht="16.5" customHeight="1" outlineLevel="1">
      <c r="B132" s="606"/>
      <c r="C132" s="606"/>
      <c r="D132" s="606"/>
      <c r="E132" s="564"/>
      <c r="F132" s="566"/>
      <c r="G132" s="192" t="s">
        <v>360</v>
      </c>
      <c r="H132" s="466" t="s">
        <v>506</v>
      </c>
      <c r="I132" s="453" t="s">
        <v>506</v>
      </c>
      <c r="J132" s="466"/>
      <c r="K132" s="467"/>
      <c r="L132" s="467"/>
      <c r="M132" s="467"/>
      <c r="N132" s="467"/>
      <c r="O132" s="467"/>
      <c r="P132" s="467"/>
      <c r="Q132" s="467"/>
      <c r="R132" s="467"/>
      <c r="S132" s="468"/>
      <c r="T132" s="417"/>
    </row>
    <row r="133" spans="2:20" ht="16.5" customHeight="1" outlineLevel="1">
      <c r="B133" s="607" t="str">
        <f>VLOOKUP(T133,Table1[],4,0)</f>
        <v>HIV I-11⁽ᴹ⁾: Procentul consumatorilor de droguri injectabile care trăiesc cu HIV</v>
      </c>
      <c r="C133" s="607"/>
      <c r="D133" s="607"/>
      <c r="E133" s="608" t="str">
        <f>VLOOKUP(T133,Table1[],2,0)</f>
        <v>Indicator de impact</v>
      </c>
      <c r="F133" s="579" t="str">
        <f>VLOOKUP(T133,Table1[],3,0)</f>
        <v>HIV</v>
      </c>
      <c r="G133" s="191" t="s">
        <v>359</v>
      </c>
      <c r="H133" s="466" t="s">
        <v>506</v>
      </c>
      <c r="I133" s="453" t="s">
        <v>506</v>
      </c>
      <c r="J133" s="469"/>
      <c r="K133" s="470"/>
      <c r="L133" s="464"/>
      <c r="M133" s="465"/>
      <c r="N133" s="465"/>
      <c r="O133" s="465"/>
      <c r="P133" s="465"/>
      <c r="Q133" s="465"/>
      <c r="R133" s="465"/>
      <c r="S133" s="454"/>
      <c r="T133" s="417">
        <v>6</v>
      </c>
    </row>
    <row r="134" spans="2:20" ht="16.5" customHeight="1" outlineLevel="1">
      <c r="B134" s="607"/>
      <c r="C134" s="607"/>
      <c r="D134" s="607"/>
      <c r="E134" s="609"/>
      <c r="F134" s="580"/>
      <c r="G134" s="191" t="s">
        <v>360</v>
      </c>
      <c r="H134" s="466" t="s">
        <v>506</v>
      </c>
      <c r="I134" s="453" t="s">
        <v>506</v>
      </c>
      <c r="J134" s="469"/>
      <c r="K134" s="470"/>
      <c r="L134" s="464"/>
      <c r="M134" s="465"/>
      <c r="N134" s="465"/>
      <c r="O134" s="465"/>
      <c r="P134" s="465"/>
      <c r="Q134" s="465"/>
      <c r="R134" s="465"/>
      <c r="S134" s="454"/>
      <c r="T134" s="417"/>
    </row>
    <row r="135" spans="2:20" ht="16.5" customHeight="1" outlineLevel="1">
      <c r="B135" s="562" t="str">
        <f>VLOOKUP(T135,Table1[],4,0)</f>
        <v>TB O-4(M): Rata succesului tratamentului pacienților cu RR TB și/sau MDR-TB</v>
      </c>
      <c r="C135" s="562"/>
      <c r="D135" s="562"/>
      <c r="E135" s="620" t="str">
        <f>VLOOKUP(T135,Table1[],2,0)</f>
        <v>Indicator de rezultat</v>
      </c>
      <c r="F135" s="619" t="str">
        <f>VLOOKUP(T135,Table1[],3,0)</f>
        <v>TB</v>
      </c>
      <c r="G135" s="192" t="s">
        <v>359</v>
      </c>
      <c r="H135" s="471">
        <v>0.61799999999999999</v>
      </c>
      <c r="I135" s="471">
        <v>0.61799999999999999</v>
      </c>
      <c r="J135" s="472"/>
      <c r="K135" s="473"/>
      <c r="L135" s="473"/>
      <c r="M135" s="474"/>
      <c r="N135" s="474"/>
      <c r="O135" s="474"/>
      <c r="P135" s="474"/>
      <c r="Q135" s="474"/>
      <c r="R135" s="474"/>
      <c r="S135" s="468"/>
      <c r="T135" s="417">
        <v>7</v>
      </c>
    </row>
    <row r="136" spans="2:20" ht="16.5" customHeight="1" outlineLevel="1">
      <c r="B136" s="562"/>
      <c r="C136" s="562"/>
      <c r="D136" s="562"/>
      <c r="E136" s="564"/>
      <c r="F136" s="566"/>
      <c r="G136" s="192" t="s">
        <v>360</v>
      </c>
      <c r="H136" s="490" t="s">
        <v>506</v>
      </c>
      <c r="I136" s="475">
        <v>0.62529999999999997</v>
      </c>
      <c r="J136" s="476"/>
      <c r="K136" s="477"/>
      <c r="L136" s="477"/>
      <c r="M136" s="477"/>
      <c r="N136" s="477"/>
      <c r="O136" s="477"/>
      <c r="P136" s="477"/>
      <c r="Q136" s="477"/>
      <c r="R136" s="477"/>
      <c r="S136" s="478"/>
      <c r="T136" s="417"/>
    </row>
    <row r="137" spans="2:20" ht="16.5" customHeight="1" outlineLevel="1">
      <c r="B137" s="607" t="str">
        <f>VLOOKUP(T137,Table1[],4,0)</f>
        <v>TB O-5(M): Rata de acoperire cu tratament antituberculos</v>
      </c>
      <c r="C137" s="607"/>
      <c r="D137" s="607"/>
      <c r="E137" s="558" t="str">
        <f>VLOOKUP(T137,Table1[],2,0)</f>
        <v>Indicator de rezultat</v>
      </c>
      <c r="F137" s="560" t="str">
        <f>VLOOKUP(T137,Table1[],3,0)</f>
        <v>TB</v>
      </c>
      <c r="G137" s="200" t="s">
        <v>359</v>
      </c>
      <c r="H137" s="471">
        <v>0.88349999999999995</v>
      </c>
      <c r="I137" s="471">
        <v>0.88349999999999995</v>
      </c>
      <c r="J137" s="479"/>
      <c r="K137" s="480"/>
      <c r="L137" s="480"/>
      <c r="M137" s="480"/>
      <c r="N137" s="480"/>
      <c r="O137" s="480"/>
      <c r="P137" s="480"/>
      <c r="Q137" s="480"/>
      <c r="R137" s="480"/>
      <c r="S137" s="481"/>
      <c r="T137" s="417">
        <v>8</v>
      </c>
    </row>
    <row r="138" spans="2:20" ht="16.5" customHeight="1" outlineLevel="1">
      <c r="B138" s="607"/>
      <c r="C138" s="607"/>
      <c r="D138" s="607"/>
      <c r="E138" s="559"/>
      <c r="F138" s="561"/>
      <c r="G138" s="200" t="s">
        <v>360</v>
      </c>
      <c r="H138" s="490" t="s">
        <v>506</v>
      </c>
      <c r="I138" s="475">
        <v>0.56230000000000002</v>
      </c>
      <c r="J138" s="482"/>
      <c r="K138" s="482"/>
      <c r="L138" s="482"/>
      <c r="M138" s="482"/>
      <c r="N138" s="482"/>
      <c r="O138" s="482"/>
      <c r="P138" s="482"/>
      <c r="Q138" s="482"/>
      <c r="R138" s="482"/>
      <c r="S138" s="483"/>
      <c r="T138" s="417"/>
    </row>
    <row r="139" spans="2:20" ht="16.5" customHeight="1" outlineLevel="1">
      <c r="B139" s="562" t="str">
        <f>VLOOKUP(T139,Table1[],4,0)</f>
        <v>HIV O-4a⁽ᴹ⁾: Procentul BSB care raportează utilizarea prezervativului în timpul ultimului act de sex anal cu un partener de sex masculin</v>
      </c>
      <c r="C139" s="562"/>
      <c r="D139" s="562"/>
      <c r="E139" s="563" t="str">
        <f>VLOOKUP(T139,Table1[],2,0)</f>
        <v>Indicator de rezultat</v>
      </c>
      <c r="F139" s="565" t="str">
        <f>VLOOKUP(T139,Table1[],3,0)</f>
        <v>HIV</v>
      </c>
      <c r="G139" s="192" t="s">
        <v>359</v>
      </c>
      <c r="H139" s="466" t="s">
        <v>506</v>
      </c>
      <c r="I139" s="453" t="s">
        <v>506</v>
      </c>
      <c r="J139" s="485"/>
      <c r="K139" s="484"/>
      <c r="L139" s="484"/>
      <c r="M139" s="484"/>
      <c r="N139" s="484"/>
      <c r="O139" s="484"/>
      <c r="P139" s="484"/>
      <c r="Q139" s="484"/>
      <c r="R139" s="484"/>
      <c r="S139" s="486"/>
      <c r="T139" s="417">
        <v>9</v>
      </c>
    </row>
    <row r="140" spans="2:20" ht="16.5" customHeight="1" outlineLevel="1">
      <c r="B140" s="562"/>
      <c r="C140" s="562"/>
      <c r="D140" s="562"/>
      <c r="E140" s="564"/>
      <c r="F140" s="566"/>
      <c r="G140" s="192" t="s">
        <v>360</v>
      </c>
      <c r="H140" s="466" t="s">
        <v>506</v>
      </c>
      <c r="I140" s="453" t="s">
        <v>506</v>
      </c>
      <c r="J140" s="485"/>
      <c r="K140" s="484"/>
      <c r="L140" s="484"/>
      <c r="M140" s="484"/>
      <c r="N140" s="484"/>
      <c r="O140" s="484"/>
      <c r="P140" s="484"/>
      <c r="Q140" s="484"/>
      <c r="R140" s="484"/>
      <c r="S140" s="486"/>
      <c r="T140" s="417"/>
    </row>
    <row r="141" spans="2:20" ht="16.5" customHeight="1" outlineLevel="1">
      <c r="B141" s="607" t="str">
        <f>VLOOKUP(T141,Table1[],4,0)</f>
        <v>HIV O-5⁽ᴹ⁾: Procentul LS care raportează utilizarea prezervativului cu ultimul lor client</v>
      </c>
      <c r="C141" s="607"/>
      <c r="D141" s="607"/>
      <c r="E141" s="558" t="str">
        <f>VLOOKUP(T141,Table1[],2,0)</f>
        <v>Indicator de rezultat</v>
      </c>
      <c r="F141" s="560" t="str">
        <f>VLOOKUP(T141,Table1[],3,0)</f>
        <v>HIV</v>
      </c>
      <c r="G141" s="200" t="s">
        <v>359</v>
      </c>
      <c r="H141" s="466" t="s">
        <v>506</v>
      </c>
      <c r="I141" s="453" t="s">
        <v>506</v>
      </c>
      <c r="J141" s="479"/>
      <c r="K141" s="480"/>
      <c r="L141" s="480"/>
      <c r="M141" s="480"/>
      <c r="N141" s="480"/>
      <c r="O141" s="480"/>
      <c r="P141" s="480"/>
      <c r="Q141" s="480"/>
      <c r="R141" s="480"/>
      <c r="S141" s="481"/>
      <c r="T141" s="417">
        <v>10</v>
      </c>
    </row>
    <row r="142" spans="2:20" ht="16.5" customHeight="1" outlineLevel="1">
      <c r="B142" s="607"/>
      <c r="C142" s="607"/>
      <c r="D142" s="607"/>
      <c r="E142" s="559"/>
      <c r="F142" s="561"/>
      <c r="G142" s="200" t="s">
        <v>360</v>
      </c>
      <c r="H142" s="466" t="s">
        <v>506</v>
      </c>
      <c r="I142" s="453" t="s">
        <v>506</v>
      </c>
      <c r="J142" s="482"/>
      <c r="K142" s="482"/>
      <c r="L142" s="482"/>
      <c r="M142" s="482"/>
      <c r="N142" s="482"/>
      <c r="O142" s="482"/>
      <c r="P142" s="482"/>
      <c r="Q142" s="482"/>
      <c r="R142" s="482"/>
      <c r="S142" s="483"/>
      <c r="T142" s="417"/>
    </row>
    <row r="143" spans="2:20" ht="16.5" customHeight="1" outlineLevel="1">
      <c r="B143" s="562" t="str">
        <f>VLOOKUP(T143,Table1[],4,0)</f>
        <v>HIV O-6⁽ᴹ⁾: Procentul CDI care raportează utilizarea setului pentru injectare steril la ultima lor injectare</v>
      </c>
      <c r="C143" s="562"/>
      <c r="D143" s="562"/>
      <c r="E143" s="563" t="str">
        <f>VLOOKUP(T143,Table1[],2,0)</f>
        <v>Indicator de rezultat</v>
      </c>
      <c r="F143" s="565" t="str">
        <f>VLOOKUP(T143,Table1[],3,0)</f>
        <v>HIV</v>
      </c>
      <c r="G143" s="192" t="s">
        <v>359</v>
      </c>
      <c r="H143" s="466" t="s">
        <v>506</v>
      </c>
      <c r="I143" s="453" t="s">
        <v>506</v>
      </c>
      <c r="J143" s="485"/>
      <c r="K143" s="484"/>
      <c r="L143" s="484"/>
      <c r="M143" s="484"/>
      <c r="N143" s="484"/>
      <c r="O143" s="484"/>
      <c r="P143" s="484"/>
      <c r="Q143" s="484"/>
      <c r="R143" s="484"/>
      <c r="S143" s="486"/>
      <c r="T143" s="417">
        <v>11</v>
      </c>
    </row>
    <row r="144" spans="2:20" ht="16.5" customHeight="1" outlineLevel="1">
      <c r="B144" s="562"/>
      <c r="C144" s="562"/>
      <c r="D144" s="562"/>
      <c r="E144" s="564"/>
      <c r="F144" s="566"/>
      <c r="G144" s="192" t="s">
        <v>360</v>
      </c>
      <c r="H144" s="466" t="s">
        <v>506</v>
      </c>
      <c r="I144" s="453" t="s">
        <v>506</v>
      </c>
      <c r="J144" s="485"/>
      <c r="K144" s="484"/>
      <c r="L144" s="484"/>
      <c r="M144" s="484"/>
      <c r="N144" s="484"/>
      <c r="O144" s="484"/>
      <c r="P144" s="484"/>
      <c r="Q144" s="484"/>
      <c r="R144" s="484"/>
      <c r="S144" s="486"/>
      <c r="T144" s="417"/>
    </row>
    <row r="145" spans="2:20" ht="16.5" customHeight="1" outlineLevel="1">
      <c r="B145" s="607" t="str">
        <f>VLOOKUP(T145,Table1[],4,0)</f>
        <v>HIV O-11⁽ᴹ⁾: Procentul PTH care își cunosc statutul HIV la sfîrșitul perioadei de raportare</v>
      </c>
      <c r="C145" s="607"/>
      <c r="D145" s="607"/>
      <c r="E145" s="558" t="str">
        <f>VLOOKUP(T145,Table1[],2,0)</f>
        <v>Indicator de rezultat</v>
      </c>
      <c r="F145" s="560" t="str">
        <f>VLOOKUP(T145,Table1[],3,0)</f>
        <v>HIV</v>
      </c>
      <c r="G145" s="200" t="s">
        <v>359</v>
      </c>
      <c r="H145" s="471">
        <v>0.73</v>
      </c>
      <c r="I145" s="471">
        <v>0.73</v>
      </c>
      <c r="J145" s="479"/>
      <c r="K145" s="480"/>
      <c r="L145" s="480"/>
      <c r="M145" s="480"/>
      <c r="N145" s="480"/>
      <c r="O145" s="480"/>
      <c r="P145" s="480"/>
      <c r="Q145" s="480"/>
      <c r="R145" s="480"/>
      <c r="S145" s="481"/>
      <c r="T145" s="417">
        <v>12</v>
      </c>
    </row>
    <row r="146" spans="2:20" ht="16.5" customHeight="1" outlineLevel="1">
      <c r="B146" s="607"/>
      <c r="C146" s="607"/>
      <c r="D146" s="607"/>
      <c r="E146" s="559"/>
      <c r="F146" s="561"/>
      <c r="G146" s="200" t="s">
        <v>360</v>
      </c>
      <c r="H146" s="490" t="s">
        <v>506</v>
      </c>
      <c r="I146" s="455" t="s">
        <v>506</v>
      </c>
      <c r="J146" s="479"/>
      <c r="K146" s="480"/>
      <c r="L146" s="480"/>
      <c r="M146" s="480"/>
      <c r="N146" s="480"/>
      <c r="O146" s="480"/>
      <c r="P146" s="480"/>
      <c r="Q146" s="480"/>
      <c r="R146" s="480"/>
      <c r="S146" s="481"/>
      <c r="T146" s="417"/>
    </row>
    <row r="147" spans="2:20" ht="16.5" customHeight="1" outlineLevel="1">
      <c r="B147" s="562" t="str">
        <f>VLOOKUP(T147,Table1[],4,0)</f>
        <v>HIV O-12: Procentul PTH aflați în tratament ARV, care prezintă supresie virală</v>
      </c>
      <c r="C147" s="562"/>
      <c r="D147" s="562"/>
      <c r="E147" s="563" t="str">
        <f>VLOOKUP(T147,Table1[],2,0)</f>
        <v>Indicator de rezultat</v>
      </c>
      <c r="F147" s="565" t="str">
        <f>VLOOKUP(T147,Table1[],3,0)</f>
        <v>HIV</v>
      </c>
      <c r="G147" s="192" t="s">
        <v>359</v>
      </c>
      <c r="H147" s="471">
        <v>0.86</v>
      </c>
      <c r="I147" s="471">
        <v>0.86</v>
      </c>
      <c r="J147" s="485"/>
      <c r="K147" s="484"/>
      <c r="L147" s="484"/>
      <c r="M147" s="484"/>
      <c r="N147" s="484"/>
      <c r="O147" s="484"/>
      <c r="P147" s="484"/>
      <c r="Q147" s="484"/>
      <c r="R147" s="484"/>
      <c r="S147" s="486"/>
      <c r="T147" s="417">
        <v>13</v>
      </c>
    </row>
    <row r="148" spans="2:20" ht="16.5" customHeight="1" outlineLevel="1">
      <c r="B148" s="562"/>
      <c r="C148" s="562"/>
      <c r="D148" s="562"/>
      <c r="E148" s="564"/>
      <c r="F148" s="566"/>
      <c r="G148" s="192" t="s">
        <v>360</v>
      </c>
      <c r="H148" s="490" t="s">
        <v>506</v>
      </c>
      <c r="I148" s="475">
        <v>0.94950000000000001</v>
      </c>
      <c r="J148" s="485"/>
      <c r="K148" s="484"/>
      <c r="L148" s="484"/>
      <c r="M148" s="484"/>
      <c r="N148" s="484"/>
      <c r="O148" s="484"/>
      <c r="P148" s="484"/>
      <c r="Q148" s="484"/>
      <c r="R148" s="484"/>
      <c r="S148" s="486"/>
      <c r="T148" s="417"/>
    </row>
    <row r="149" spans="2:20" ht="16.5" customHeight="1">
      <c r="B149" s="607" t="str">
        <f>VLOOKUP(T149,Table1[],4,0)</f>
        <v xml:space="preserve">TCP-1⁽ᴹ⁾: Numărul cazurilor de tuberculoză, toate formele (bacteriologic confirmate și diagnosticate clinic, cazuri noi și recidive) notificate către autoritatea națională, într-o perioadă anumită de timp </v>
      </c>
      <c r="C149" s="607"/>
      <c r="D149" s="607"/>
      <c r="E149" s="558" t="str">
        <f>VLOOKUP(T149,Table1[],2,0)</f>
        <v>Indicator de proces</v>
      </c>
      <c r="F149" s="560" t="str">
        <f>VLOOKUP(T149,Table1[],3,0)</f>
        <v>TB</v>
      </c>
      <c r="G149" s="200" t="s">
        <v>359</v>
      </c>
      <c r="H149" s="547">
        <v>1363</v>
      </c>
      <c r="I149" s="547">
        <v>2726</v>
      </c>
      <c r="J149" s="479"/>
      <c r="K149" s="480"/>
      <c r="L149" s="480"/>
      <c r="M149" s="480"/>
      <c r="N149" s="480"/>
      <c r="O149" s="480"/>
      <c r="P149" s="480"/>
      <c r="Q149" s="480"/>
      <c r="R149" s="480"/>
      <c r="S149" s="481"/>
      <c r="T149" s="417">
        <v>14</v>
      </c>
    </row>
    <row r="150" spans="2:20" ht="16.5" customHeight="1">
      <c r="B150" s="607"/>
      <c r="C150" s="607"/>
      <c r="D150" s="607"/>
      <c r="E150" s="559"/>
      <c r="F150" s="561"/>
      <c r="G150" s="200" t="s">
        <v>360</v>
      </c>
      <c r="H150" s="546">
        <v>997</v>
      </c>
      <c r="I150" s="546">
        <v>2064</v>
      </c>
      <c r="J150" s="482"/>
      <c r="K150" s="482"/>
      <c r="L150" s="482"/>
      <c r="M150" s="482"/>
      <c r="N150" s="482"/>
      <c r="O150" s="482"/>
      <c r="P150" s="482"/>
      <c r="Q150" s="482"/>
      <c r="R150" s="482"/>
      <c r="S150" s="483"/>
      <c r="T150" s="417"/>
    </row>
    <row r="151" spans="2:20" ht="16.5" customHeight="1">
      <c r="B151" s="562" t="str">
        <f>VLOOKUP(T151,Table1[],4,0)</f>
        <v xml:space="preserve">MDR TB-2⁽ᴹ⁾: Numărul cazurilor cu tuberculoză drog-rezistentă (RR-TB și/sau MDR-TB) notificate către autoritatea națională          </v>
      </c>
      <c r="C151" s="562"/>
      <c r="D151" s="562"/>
      <c r="E151" s="563" t="str">
        <f>VLOOKUP(T151,Table1[],2,0)</f>
        <v>Indicator de proces</v>
      </c>
      <c r="F151" s="565" t="str">
        <f>VLOOKUP(T151,Table1[],3,0)</f>
        <v>TB</v>
      </c>
      <c r="G151" s="192" t="s">
        <v>359</v>
      </c>
      <c r="H151" s="547">
        <v>436</v>
      </c>
      <c r="I151" s="547">
        <v>872</v>
      </c>
      <c r="J151" s="485"/>
      <c r="K151" s="484"/>
      <c r="L151" s="484"/>
      <c r="M151" s="484"/>
      <c r="N151" s="484"/>
      <c r="O151" s="484"/>
      <c r="P151" s="484"/>
      <c r="Q151" s="484"/>
      <c r="R151" s="484"/>
      <c r="S151" s="486"/>
      <c r="T151" s="417">
        <v>15</v>
      </c>
    </row>
    <row r="152" spans="2:20" ht="16.5" customHeight="1">
      <c r="B152" s="562"/>
      <c r="C152" s="562"/>
      <c r="D152" s="562"/>
      <c r="E152" s="564"/>
      <c r="F152" s="566"/>
      <c r="G152" s="192" t="s">
        <v>360</v>
      </c>
      <c r="H152" s="546">
        <v>252</v>
      </c>
      <c r="I152" s="546">
        <v>495</v>
      </c>
      <c r="J152" s="488"/>
      <c r="K152" s="487"/>
      <c r="L152" s="487"/>
      <c r="M152" s="487"/>
      <c r="N152" s="487"/>
      <c r="O152" s="487"/>
      <c r="P152" s="487"/>
      <c r="Q152" s="487"/>
      <c r="R152" s="487"/>
      <c r="S152" s="489"/>
      <c r="T152" s="417"/>
    </row>
    <row r="153" spans="2:20" ht="16.5" customHeight="1">
      <c r="B153" s="607" t="str">
        <f>VLOOKUP(T153,Table1[],4,0)</f>
        <v xml:space="preserve">MDR TB-3⁽ᴹ⁾: Numărul cazurilor cu tuberculoză drog-rezistentă (RR-TB și/sau MDR-TB), confirmate bacteriologic, care au demarat tratamentul DOTS-Plus, în perioada raportată                </v>
      </c>
      <c r="C153" s="607"/>
      <c r="D153" s="607"/>
      <c r="E153" s="558" t="str">
        <f>VLOOKUP(T153,Table1[],2,0)</f>
        <v>Indicator de proces</v>
      </c>
      <c r="F153" s="560" t="str">
        <f>VLOOKUP(T153,Table1[],3,0)</f>
        <v>TB</v>
      </c>
      <c r="G153" s="200" t="s">
        <v>359</v>
      </c>
      <c r="H153" s="547">
        <v>436</v>
      </c>
      <c r="I153" s="547">
        <v>872</v>
      </c>
      <c r="J153" s="479"/>
      <c r="K153" s="480"/>
      <c r="L153" s="480"/>
      <c r="M153" s="480"/>
      <c r="N153" s="480"/>
      <c r="O153" s="480"/>
      <c r="P153" s="480"/>
      <c r="Q153" s="480"/>
      <c r="R153" s="480"/>
      <c r="S153" s="481"/>
      <c r="T153" s="417">
        <v>16</v>
      </c>
    </row>
    <row r="154" spans="2:20" ht="16.5" customHeight="1">
      <c r="B154" s="607"/>
      <c r="C154" s="607"/>
      <c r="D154" s="607"/>
      <c r="E154" s="559"/>
      <c r="F154" s="561"/>
      <c r="G154" s="200" t="s">
        <v>360</v>
      </c>
      <c r="H154" s="546">
        <v>289</v>
      </c>
      <c r="I154" s="546">
        <v>579</v>
      </c>
      <c r="J154" s="482"/>
      <c r="K154" s="482"/>
      <c r="L154" s="482"/>
      <c r="M154" s="482"/>
      <c r="N154" s="482"/>
      <c r="O154" s="482"/>
      <c r="P154" s="482"/>
      <c r="Q154" s="482"/>
      <c r="R154" s="482"/>
      <c r="S154" s="483"/>
      <c r="T154" s="417"/>
    </row>
    <row r="155" spans="2:20" ht="16.5" customHeight="1">
      <c r="B155" s="562" t="str">
        <f>VLOOKUP(T155,Table1[],4,0)</f>
        <v>TCS-1.1⁽ᴹ⁾: Procentul persoanelor aflate în tratament ARV, din numărul total de PTH, la sfîrșitul perioadei de raportare</v>
      </c>
      <c r="C155" s="562"/>
      <c r="D155" s="562"/>
      <c r="E155" s="563" t="str">
        <f>VLOOKUP(T155,Table1[],2,0)</f>
        <v>Indicator de proces</v>
      </c>
      <c r="F155" s="565" t="str">
        <f>VLOOKUP(T155,Table1[],3,0)</f>
        <v>HIV</v>
      </c>
      <c r="G155" s="192" t="s">
        <v>359</v>
      </c>
      <c r="H155" s="471">
        <v>0.57140000000000002</v>
      </c>
      <c r="I155" s="471">
        <v>0.57140000000000002</v>
      </c>
      <c r="J155" s="485"/>
      <c r="K155" s="484"/>
      <c r="L155" s="484"/>
      <c r="M155" s="484"/>
      <c r="N155" s="484"/>
      <c r="O155" s="484"/>
      <c r="P155" s="484"/>
      <c r="Q155" s="484"/>
      <c r="R155" s="484"/>
      <c r="S155" s="486"/>
      <c r="T155" s="417">
        <v>17</v>
      </c>
    </row>
    <row r="156" spans="2:20" ht="16.5" customHeight="1">
      <c r="B156" s="562"/>
      <c r="C156" s="562"/>
      <c r="D156" s="562"/>
      <c r="E156" s="564"/>
      <c r="F156" s="566"/>
      <c r="G156" s="192" t="s">
        <v>360</v>
      </c>
      <c r="H156" s="475">
        <v>0.48649999999999999</v>
      </c>
      <c r="I156" s="475">
        <v>0.49780000000000002</v>
      </c>
      <c r="J156" s="485"/>
      <c r="K156" s="484"/>
      <c r="L156" s="484"/>
      <c r="M156" s="484"/>
      <c r="N156" s="484"/>
      <c r="O156" s="484"/>
      <c r="P156" s="484"/>
      <c r="Q156" s="484"/>
      <c r="R156" s="484"/>
      <c r="S156" s="486"/>
      <c r="T156" s="417"/>
    </row>
    <row r="157" spans="2:20" ht="16.5" customHeight="1">
      <c r="B157" s="607" t="str">
        <f>VLOOKUP(T157,Table1[],4,0)</f>
        <v xml:space="preserve">KP-1a⁽ᴹ⁾: Procentul BSB acoperiți de programele de prevenire HIV - pachet definit de servicii </v>
      </c>
      <c r="C157" s="607"/>
      <c r="D157" s="607"/>
      <c r="E157" s="558" t="str">
        <f>VLOOKUP(T157,Table1[],2,0)</f>
        <v>Indicator de proces</v>
      </c>
      <c r="F157" s="560" t="str">
        <f>VLOOKUP(T157,Table1[],3,0)</f>
        <v>HIV</v>
      </c>
      <c r="G157" s="200" t="s">
        <v>359</v>
      </c>
      <c r="H157" s="471">
        <v>0.35</v>
      </c>
      <c r="I157" s="471">
        <v>0.35</v>
      </c>
      <c r="J157" s="479"/>
      <c r="K157" s="480"/>
      <c r="L157" s="480"/>
      <c r="M157" s="480"/>
      <c r="N157" s="480"/>
      <c r="O157" s="480"/>
      <c r="P157" s="480"/>
      <c r="Q157" s="480"/>
      <c r="R157" s="480"/>
      <c r="S157" s="481"/>
      <c r="T157" s="417">
        <v>18</v>
      </c>
    </row>
    <row r="158" spans="2:20" ht="16.5" customHeight="1">
      <c r="B158" s="607"/>
      <c r="C158" s="607"/>
      <c r="D158" s="607"/>
      <c r="E158" s="559"/>
      <c r="F158" s="561"/>
      <c r="G158" s="200" t="s">
        <v>360</v>
      </c>
      <c r="H158" s="475">
        <v>0.2465</v>
      </c>
      <c r="I158" s="475">
        <v>0.29239999999999999</v>
      </c>
      <c r="J158" s="482"/>
      <c r="K158" s="482"/>
      <c r="L158" s="482"/>
      <c r="M158" s="482"/>
      <c r="N158" s="482"/>
      <c r="O158" s="482"/>
      <c r="P158" s="482"/>
      <c r="Q158" s="482"/>
      <c r="R158" s="482"/>
      <c r="S158" s="483"/>
      <c r="T158" s="417"/>
    </row>
    <row r="159" spans="2:20" ht="16.5" customHeight="1">
      <c r="B159" s="562" t="str">
        <f>VLOOKUP(T159,Table1[],4,0)</f>
        <v xml:space="preserve">KP-1c⁽ᴹ⁾: Procentul LS acoperiți de programele de prevenire HIV - pachet definit de servicii </v>
      </c>
      <c r="C159" s="562"/>
      <c r="D159" s="562"/>
      <c r="E159" s="563" t="str">
        <f>VLOOKUP(T159,Table1[],2,0)</f>
        <v>Indicator de proces</v>
      </c>
      <c r="F159" s="565" t="str">
        <f>VLOOKUP(T159,Table1[],3,0)</f>
        <v>HIV</v>
      </c>
      <c r="G159" s="192" t="s">
        <v>359</v>
      </c>
      <c r="H159" s="471">
        <v>0.53920000000000001</v>
      </c>
      <c r="I159" s="471">
        <v>0.53920000000000001</v>
      </c>
      <c r="J159" s="485"/>
      <c r="K159" s="484"/>
      <c r="L159" s="484"/>
      <c r="M159" s="484"/>
      <c r="N159" s="484"/>
      <c r="O159" s="484"/>
      <c r="P159" s="484"/>
      <c r="Q159" s="484"/>
      <c r="R159" s="484"/>
      <c r="S159" s="486"/>
      <c r="T159" s="417">
        <v>19</v>
      </c>
    </row>
    <row r="160" spans="2:20" ht="16.5" customHeight="1">
      <c r="B160" s="562"/>
      <c r="C160" s="562"/>
      <c r="D160" s="562"/>
      <c r="E160" s="564"/>
      <c r="F160" s="566"/>
      <c r="G160" s="192" t="s">
        <v>360</v>
      </c>
      <c r="H160" s="475">
        <v>0.37080000000000002</v>
      </c>
      <c r="I160" s="475">
        <v>0.48399999999999999</v>
      </c>
      <c r="J160" s="488"/>
      <c r="K160" s="487"/>
      <c r="L160" s="487"/>
      <c r="M160" s="487"/>
      <c r="N160" s="487"/>
      <c r="O160" s="487"/>
      <c r="P160" s="487"/>
      <c r="Q160" s="487"/>
      <c r="R160" s="487"/>
      <c r="S160" s="489"/>
      <c r="T160" s="417"/>
    </row>
    <row r="161" spans="2:20" ht="16.5" customHeight="1">
      <c r="B161" s="607" t="str">
        <f>VLOOKUP(T161,Table1[],4,0)</f>
        <v xml:space="preserve">KP-1d⁽ᴹ⁾: Procentul consumatorilor de droguri injectabile acoperiți de programele de prevenire HIV - pachet definit de servicii </v>
      </c>
      <c r="C161" s="607"/>
      <c r="D161" s="607"/>
      <c r="E161" s="558" t="str">
        <f>VLOOKUP(T161,Table1[],2,0)</f>
        <v>Indicator de proces</v>
      </c>
      <c r="F161" s="560" t="str">
        <f>VLOOKUP(T161,Table1[],3,0)</f>
        <v>HIV</v>
      </c>
      <c r="G161" s="200" t="s">
        <v>359</v>
      </c>
      <c r="H161" s="471">
        <v>0.72130000000000005</v>
      </c>
      <c r="I161" s="471">
        <v>0.72130000000000005</v>
      </c>
      <c r="J161" s="479"/>
      <c r="K161" s="480"/>
      <c r="L161" s="480"/>
      <c r="M161" s="480"/>
      <c r="N161" s="480"/>
      <c r="O161" s="480"/>
      <c r="P161" s="480"/>
      <c r="Q161" s="480"/>
      <c r="R161" s="480"/>
      <c r="S161" s="481"/>
      <c r="T161" s="417">
        <v>20</v>
      </c>
    </row>
    <row r="162" spans="2:20" ht="16.5" customHeight="1">
      <c r="B162" s="607"/>
      <c r="C162" s="607"/>
      <c r="D162" s="607"/>
      <c r="E162" s="559"/>
      <c r="F162" s="561"/>
      <c r="G162" s="200" t="s">
        <v>360</v>
      </c>
      <c r="H162" s="475">
        <v>0.53039999999999998</v>
      </c>
      <c r="I162" s="475">
        <v>0.59219999999999995</v>
      </c>
      <c r="J162" s="482"/>
      <c r="K162" s="482"/>
      <c r="L162" s="482"/>
      <c r="M162" s="482"/>
      <c r="N162" s="482"/>
      <c r="O162" s="482"/>
      <c r="P162" s="482"/>
      <c r="Q162" s="482"/>
      <c r="R162" s="482"/>
      <c r="S162" s="483"/>
      <c r="T162" s="417"/>
    </row>
    <row r="163" spans="2:20" ht="16.5" customHeight="1">
      <c r="B163" s="562" t="str">
        <f>VLOOKUP(T163,Table1[],4,0)</f>
        <v>HTS-3a⁽ᴹ⁾: Procentul BSB care au fost testați pentru HIV, în perioada de raportare, și își cunosc rezultatele</v>
      </c>
      <c r="C163" s="562"/>
      <c r="D163" s="562"/>
      <c r="E163" s="563" t="str">
        <f>VLOOKUP(T163,Table1[],2,0)</f>
        <v>Indicator de proces</v>
      </c>
      <c r="F163" s="565" t="str">
        <f>VLOOKUP(T163,Table1[],3,0)</f>
        <v>HIV</v>
      </c>
      <c r="G163" s="192" t="s">
        <v>359</v>
      </c>
      <c r="H163" s="471">
        <v>0.32019999999999998</v>
      </c>
      <c r="I163" s="471">
        <v>0.32019999999999998</v>
      </c>
      <c r="J163" s="485"/>
      <c r="K163" s="484"/>
      <c r="L163" s="484"/>
      <c r="M163" s="484"/>
      <c r="N163" s="484"/>
      <c r="O163" s="484"/>
      <c r="P163" s="484"/>
      <c r="Q163" s="484"/>
      <c r="R163" s="484"/>
      <c r="S163" s="486"/>
      <c r="T163" s="417">
        <v>21</v>
      </c>
    </row>
    <row r="164" spans="2:20" ht="16.5" customHeight="1">
      <c r="B164" s="562"/>
      <c r="C164" s="562"/>
      <c r="D164" s="562"/>
      <c r="E164" s="564"/>
      <c r="F164" s="566"/>
      <c r="G164" s="192" t="s">
        <v>360</v>
      </c>
      <c r="H164" s="475">
        <v>0.14799999999999999</v>
      </c>
      <c r="I164" s="475">
        <v>0.30399999999999999</v>
      </c>
      <c r="J164" s="488"/>
      <c r="K164" s="487"/>
      <c r="L164" s="487"/>
      <c r="M164" s="487"/>
      <c r="N164" s="487"/>
      <c r="O164" s="487"/>
      <c r="P164" s="487"/>
      <c r="Q164" s="487"/>
      <c r="R164" s="487"/>
      <c r="S164" s="489"/>
      <c r="T164" s="417"/>
    </row>
    <row r="165" spans="2:20" ht="16.5" customHeight="1">
      <c r="B165" s="607" t="str">
        <f>VLOOKUP(T165,Table1[],4,0)</f>
        <v>HTS-3c⁽ᴹ⁾: Procentul LS care au fost testați pentru HIV, în perioada de raportare, și își cunosc rezultatele</v>
      </c>
      <c r="C165" s="607"/>
      <c r="D165" s="607"/>
      <c r="E165" s="558" t="str">
        <f>VLOOKUP(T165,Table1[],2,0)</f>
        <v>Indicator de proces</v>
      </c>
      <c r="F165" s="560" t="str">
        <f>VLOOKUP(T165,Table1[],3,0)</f>
        <v>HIV</v>
      </c>
      <c r="G165" s="200" t="s">
        <v>359</v>
      </c>
      <c r="H165" s="471">
        <v>0.48680000000000001</v>
      </c>
      <c r="I165" s="471">
        <v>0.48680000000000001</v>
      </c>
      <c r="J165" s="479"/>
      <c r="K165" s="480"/>
      <c r="L165" s="480"/>
      <c r="M165" s="480"/>
      <c r="N165" s="480"/>
      <c r="O165" s="480"/>
      <c r="P165" s="480"/>
      <c r="Q165" s="480"/>
      <c r="R165" s="480"/>
      <c r="S165" s="481"/>
      <c r="T165" s="417">
        <v>22</v>
      </c>
    </row>
    <row r="166" spans="2:20" ht="16.5" customHeight="1">
      <c r="B166" s="607"/>
      <c r="C166" s="607"/>
      <c r="D166" s="607"/>
      <c r="E166" s="559"/>
      <c r="F166" s="561"/>
      <c r="G166" s="200" t="s">
        <v>360</v>
      </c>
      <c r="H166" s="475">
        <v>0.22919999999999999</v>
      </c>
      <c r="I166" s="475">
        <v>0.372</v>
      </c>
      <c r="J166" s="482"/>
      <c r="K166" s="482"/>
      <c r="L166" s="482"/>
      <c r="M166" s="482"/>
      <c r="N166" s="482"/>
      <c r="O166" s="482"/>
      <c r="P166" s="482"/>
      <c r="Q166" s="482"/>
      <c r="R166" s="482"/>
      <c r="S166" s="483"/>
      <c r="T166" s="417"/>
    </row>
    <row r="167" spans="2:20" ht="16.5" customHeight="1">
      <c r="B167" s="562" t="str">
        <f>VLOOKUP(T167,Table1[],4,0)</f>
        <v>HTS-3d⁽ᴹ⁾: Procentul CDI care au fost testați pentru HIV, în perioada de raportare, și își cunosc rezultatele</v>
      </c>
      <c r="C167" s="562"/>
      <c r="D167" s="562"/>
      <c r="E167" s="563" t="str">
        <f>VLOOKUP(T167,Table1[],2,0)</f>
        <v>Indicator de proces</v>
      </c>
      <c r="F167" s="565" t="str">
        <f>VLOOKUP(T167,Table1[],3,0)</f>
        <v>HIV</v>
      </c>
      <c r="G167" s="192" t="s">
        <v>359</v>
      </c>
      <c r="H167" s="471">
        <v>0.61150000000000004</v>
      </c>
      <c r="I167" s="471">
        <v>0.61150000000000004</v>
      </c>
      <c r="J167" s="485"/>
      <c r="K167" s="484"/>
      <c r="L167" s="484"/>
      <c r="M167" s="484"/>
      <c r="N167" s="484"/>
      <c r="O167" s="484"/>
      <c r="P167" s="484"/>
      <c r="Q167" s="484"/>
      <c r="R167" s="484"/>
      <c r="S167" s="486"/>
      <c r="T167" s="417">
        <v>23</v>
      </c>
    </row>
    <row r="168" spans="2:20" ht="16.5" customHeight="1">
      <c r="B168" s="562"/>
      <c r="C168" s="562"/>
      <c r="D168" s="562"/>
      <c r="E168" s="564"/>
      <c r="F168" s="566"/>
      <c r="G168" s="192" t="s">
        <v>360</v>
      </c>
      <c r="H168" s="475">
        <v>0.20930000000000001</v>
      </c>
      <c r="I168" s="475">
        <v>0.34499999999999997</v>
      </c>
      <c r="J168" s="488"/>
      <c r="K168" s="487"/>
      <c r="L168" s="487"/>
      <c r="M168" s="487"/>
      <c r="N168" s="487"/>
      <c r="O168" s="487"/>
      <c r="P168" s="487"/>
      <c r="Q168" s="487"/>
      <c r="R168" s="487"/>
      <c r="S168" s="489"/>
      <c r="T168" s="417"/>
    </row>
    <row r="169" spans="2:20" ht="16.5" customHeight="1">
      <c r="B169" s="607" t="str">
        <f>VLOOKUP(T169,Table1[],4,0)</f>
        <v>HTS-3f⁽ᴹ⁾: Numărul deținuților care au fost testați pentru HIV, în perioada de raportare, și își cunosc rezultatele</v>
      </c>
      <c r="C169" s="607"/>
      <c r="D169" s="607"/>
      <c r="E169" s="558" t="str">
        <f>VLOOKUP(T169,Table1[],2,0)</f>
        <v>Indicator de proces</v>
      </c>
      <c r="F169" s="560" t="str">
        <f>VLOOKUP(T169,Table1[],3,0)</f>
        <v>HIV</v>
      </c>
      <c r="G169" s="200" t="s">
        <v>359</v>
      </c>
      <c r="H169" s="547">
        <v>4024</v>
      </c>
      <c r="I169" s="547">
        <v>4024</v>
      </c>
      <c r="J169" s="479"/>
      <c r="K169" s="480"/>
      <c r="L169" s="480"/>
      <c r="M169" s="480"/>
      <c r="N169" s="480"/>
      <c r="O169" s="480"/>
      <c r="P169" s="480"/>
      <c r="Q169" s="480"/>
      <c r="R169" s="480"/>
      <c r="S169" s="481"/>
      <c r="T169" s="417">
        <v>24</v>
      </c>
    </row>
    <row r="170" spans="2:20" ht="16.5" customHeight="1">
      <c r="B170" s="607"/>
      <c r="C170" s="607"/>
      <c r="D170" s="607"/>
      <c r="E170" s="559"/>
      <c r="F170" s="561"/>
      <c r="G170" s="200" t="s">
        <v>360</v>
      </c>
      <c r="H170" s="546">
        <v>1534</v>
      </c>
      <c r="I170" s="546">
        <v>3968</v>
      </c>
      <c r="J170" s="482"/>
      <c r="K170" s="482"/>
      <c r="L170" s="482"/>
      <c r="M170" s="482"/>
      <c r="N170" s="482"/>
      <c r="O170" s="482"/>
      <c r="P170" s="482"/>
      <c r="Q170" s="482"/>
      <c r="R170" s="482"/>
      <c r="S170" s="483"/>
      <c r="T170" s="417"/>
    </row>
    <row r="171" spans="2:20">
      <c r="B171" s="607" t="str">
        <f>VLOOKUP(T171,Table1[],4,0)</f>
        <v>KP-6a: Procentul BSB eligibili, care au inițiat tratamentul oral antiretroviral PrEP, în perioada de raportare</v>
      </c>
      <c r="C171" s="607"/>
      <c r="D171" s="607"/>
      <c r="E171" s="558" t="str">
        <f>VLOOKUP(T171,Table1[],2,0)</f>
        <v>Indicator de proces</v>
      </c>
      <c r="F171" s="560" t="str">
        <f>VLOOKUP(T171,Table1[],3,0)</f>
        <v>HIV</v>
      </c>
      <c r="G171" s="200" t="s">
        <v>359</v>
      </c>
      <c r="H171" s="471">
        <v>5.0900000000000001E-2</v>
      </c>
      <c r="I171" s="471">
        <v>5.0900000000000001E-2</v>
      </c>
      <c r="J171" s="479"/>
      <c r="K171" s="480"/>
      <c r="L171" s="480"/>
      <c r="M171" s="480"/>
      <c r="N171" s="480"/>
      <c r="O171" s="480"/>
      <c r="P171" s="480"/>
      <c r="Q171" s="480"/>
      <c r="R171" s="480"/>
      <c r="S171" s="481"/>
      <c r="T171" s="417">
        <v>25</v>
      </c>
    </row>
    <row r="172" spans="2:20" ht="15.75" thickBot="1">
      <c r="B172" s="607"/>
      <c r="C172" s="607"/>
      <c r="D172" s="607"/>
      <c r="E172" s="559"/>
      <c r="F172" s="561"/>
      <c r="G172" s="200" t="s">
        <v>360</v>
      </c>
      <c r="H172" s="475">
        <v>1.54E-2</v>
      </c>
      <c r="I172" s="475">
        <v>3.1099999999999999E-2</v>
      </c>
      <c r="J172" s="482"/>
      <c r="K172" s="482"/>
      <c r="L172" s="482"/>
      <c r="M172" s="482"/>
      <c r="N172" s="482"/>
      <c r="O172" s="482"/>
      <c r="P172" s="482"/>
      <c r="Q172" s="482"/>
      <c r="R172" s="482"/>
      <c r="S172" s="483"/>
    </row>
    <row r="173" spans="2:20" ht="41.25" hidden="1" customHeight="1">
      <c r="B173" t="s">
        <v>408</v>
      </c>
      <c r="E173" s="152" t="s">
        <v>362</v>
      </c>
      <c r="F173" s="203" t="s">
        <v>363</v>
      </c>
      <c r="G173" s="117"/>
      <c r="H173" s="415" t="str">
        <f t="shared" ref="H173:S173" si="5">C30</f>
        <v>P1</v>
      </c>
      <c r="I173" s="415" t="str">
        <f t="shared" si="5"/>
        <v>P2</v>
      </c>
      <c r="J173" s="415" t="str">
        <f t="shared" si="5"/>
        <v>P3</v>
      </c>
      <c r="K173" s="415" t="str">
        <f t="shared" si="5"/>
        <v>P4</v>
      </c>
      <c r="L173" s="415" t="str">
        <f t="shared" si="5"/>
        <v>P5</v>
      </c>
      <c r="M173" s="415" t="str">
        <f t="shared" si="5"/>
        <v>P6</v>
      </c>
      <c r="N173" s="415" t="str">
        <f t="shared" si="5"/>
        <v>P7</v>
      </c>
      <c r="O173" s="415" t="str">
        <f t="shared" si="5"/>
        <v>P8</v>
      </c>
      <c r="P173" s="415" t="str">
        <f t="shared" si="5"/>
        <v>P9</v>
      </c>
      <c r="Q173" s="415" t="str">
        <f t="shared" si="5"/>
        <v>P10</v>
      </c>
      <c r="R173" s="415" t="str">
        <f t="shared" si="5"/>
        <v>P11</v>
      </c>
      <c r="S173" s="416" t="str">
        <f t="shared" si="5"/>
        <v>P12</v>
      </c>
    </row>
    <row r="174" spans="2:20" ht="25.5" hidden="1" customHeight="1">
      <c r="B174" s="593" t="str">
        <f>IF(ISBLANK(B123),"",(B123))</f>
        <v>TB I-3(M): Rata mortalităţii prin TB la 100,000 populație</v>
      </c>
      <c r="C174" s="610"/>
      <c r="D174" s="611"/>
      <c r="E174" s="623" t="str">
        <f>IF(ISBLANK(E123),"",(E123))</f>
        <v>Indicator de impact</v>
      </c>
      <c r="F174" s="622" t="str">
        <f>IF(ISBLANK(F123),"",(F123))</f>
        <v>TB</v>
      </c>
      <c r="G174" s="199" t="s">
        <v>359</v>
      </c>
      <c r="H174" s="284">
        <f t="shared" ref="H174:L179" si="6">H123</f>
        <v>5.8</v>
      </c>
      <c r="I174" s="284">
        <f t="shared" si="6"/>
        <v>5.8</v>
      </c>
      <c r="J174" s="284">
        <f t="shared" si="6"/>
        <v>0</v>
      </c>
      <c r="K174" s="284">
        <f t="shared" si="6"/>
        <v>0</v>
      </c>
      <c r="L174" s="284">
        <f t="shared" si="6"/>
        <v>0</v>
      </c>
      <c r="M174" s="284">
        <f t="shared" ref="M174:S179" si="7">M123</f>
        <v>0</v>
      </c>
      <c r="N174" s="284">
        <f t="shared" si="7"/>
        <v>0</v>
      </c>
      <c r="O174" s="284">
        <f t="shared" si="7"/>
        <v>0</v>
      </c>
      <c r="P174" s="284">
        <f t="shared" si="7"/>
        <v>0</v>
      </c>
      <c r="Q174" s="284">
        <f t="shared" si="7"/>
        <v>0</v>
      </c>
      <c r="R174" s="284">
        <f t="shared" si="7"/>
        <v>0</v>
      </c>
      <c r="S174" s="285">
        <f t="shared" si="7"/>
        <v>0</v>
      </c>
    </row>
    <row r="175" spans="2:20" ht="25.5" hidden="1" customHeight="1">
      <c r="B175" s="612"/>
      <c r="C175" s="613"/>
      <c r="D175" s="614"/>
      <c r="E175" s="623"/>
      <c r="F175" s="622"/>
      <c r="G175" s="199" t="s">
        <v>360</v>
      </c>
      <c r="H175" s="286" t="str">
        <f t="shared" si="6"/>
        <v>n/a</v>
      </c>
      <c r="I175" s="286">
        <f t="shared" si="6"/>
        <v>4.78</v>
      </c>
      <c r="J175" s="286">
        <f t="shared" si="6"/>
        <v>0</v>
      </c>
      <c r="K175" s="286">
        <f t="shared" si="6"/>
        <v>0</v>
      </c>
      <c r="L175" s="286">
        <f t="shared" si="6"/>
        <v>0</v>
      </c>
      <c r="M175" s="284">
        <f t="shared" si="7"/>
        <v>0</v>
      </c>
      <c r="N175" s="284">
        <f t="shared" si="7"/>
        <v>0</v>
      </c>
      <c r="O175" s="284">
        <f t="shared" si="7"/>
        <v>0</v>
      </c>
      <c r="P175" s="284">
        <f t="shared" si="7"/>
        <v>0</v>
      </c>
      <c r="Q175" s="284">
        <f t="shared" si="7"/>
        <v>0</v>
      </c>
      <c r="R175" s="284">
        <f t="shared" si="7"/>
        <v>0</v>
      </c>
      <c r="S175" s="285">
        <f t="shared" si="7"/>
        <v>0</v>
      </c>
    </row>
    <row r="176" spans="2:20" ht="26.25" hidden="1" customHeight="1">
      <c r="B176" s="600" t="str">
        <f>IF(ISBLANK(B125),"",(B125))</f>
        <v xml:space="preserve">TB I-4(M): Prevalența RR-TB și/sau MDR-TB printre cazurile noi de tuberculoză </v>
      </c>
      <c r="C176" s="601"/>
      <c r="D176" s="602"/>
      <c r="E176" s="599" t="str">
        <f>IF(ISBLANK(E125),"",(E125))</f>
        <v>Indicator de impact</v>
      </c>
      <c r="F176" s="621" t="str">
        <f>IF(ISBLANK(F125),"",(F125))</f>
        <v>TB</v>
      </c>
      <c r="G176" s="200" t="s">
        <v>359</v>
      </c>
      <c r="H176" s="287">
        <f t="shared" si="6"/>
        <v>24.29</v>
      </c>
      <c r="I176" s="287">
        <f t="shared" si="6"/>
        <v>24.29</v>
      </c>
      <c r="J176" s="287">
        <f t="shared" si="6"/>
        <v>0</v>
      </c>
      <c r="K176" s="287">
        <f t="shared" si="6"/>
        <v>0</v>
      </c>
      <c r="L176" s="287">
        <f t="shared" si="6"/>
        <v>0</v>
      </c>
      <c r="M176" s="287">
        <f t="shared" si="7"/>
        <v>0</v>
      </c>
      <c r="N176" s="287">
        <f t="shared" si="7"/>
        <v>0</v>
      </c>
      <c r="O176" s="287">
        <f t="shared" si="7"/>
        <v>0</v>
      </c>
      <c r="P176" s="287">
        <f t="shared" si="7"/>
        <v>0</v>
      </c>
      <c r="Q176" s="287">
        <f t="shared" si="7"/>
        <v>0</v>
      </c>
      <c r="R176" s="287">
        <f t="shared" si="7"/>
        <v>0</v>
      </c>
      <c r="S176" s="288">
        <f t="shared" si="7"/>
        <v>0</v>
      </c>
    </row>
    <row r="177" spans="2:19" ht="28.5" hidden="1" customHeight="1">
      <c r="B177" s="603"/>
      <c r="C177" s="604"/>
      <c r="D177" s="605"/>
      <c r="E177" s="599"/>
      <c r="F177" s="621"/>
      <c r="G177" s="200" t="s">
        <v>360</v>
      </c>
      <c r="H177" s="287" t="str">
        <f t="shared" si="6"/>
        <v>n/a</v>
      </c>
      <c r="I177" s="287">
        <f t="shared" si="6"/>
        <v>22.1</v>
      </c>
      <c r="J177" s="287">
        <f t="shared" si="6"/>
        <v>0</v>
      </c>
      <c r="K177" s="287">
        <f t="shared" si="6"/>
        <v>0</v>
      </c>
      <c r="L177" s="287">
        <f t="shared" si="6"/>
        <v>0</v>
      </c>
      <c r="M177" s="287">
        <f t="shared" si="7"/>
        <v>0</v>
      </c>
      <c r="N177" s="287">
        <f t="shared" si="7"/>
        <v>0</v>
      </c>
      <c r="O177" s="287">
        <f t="shared" si="7"/>
        <v>0</v>
      </c>
      <c r="P177" s="287">
        <f t="shared" si="7"/>
        <v>0</v>
      </c>
      <c r="Q177" s="287">
        <f t="shared" si="7"/>
        <v>0</v>
      </c>
      <c r="R177" s="287">
        <f t="shared" si="7"/>
        <v>0</v>
      </c>
      <c r="S177" s="288">
        <f t="shared" si="7"/>
        <v>0</v>
      </c>
    </row>
    <row r="178" spans="2:19" ht="31.5" hidden="1" customHeight="1">
      <c r="B178" s="593" t="str">
        <f>IF(ISBLANK(B127),"",(B127))</f>
        <v>HIV I-4: Mortalitatea asociată cu SIDA la 100,000 populaţie</v>
      </c>
      <c r="C178" s="594"/>
      <c r="D178" s="595"/>
      <c r="E178" s="617" t="str">
        <f>IF(ISBLANK(E127),"",(E127))</f>
        <v>Indicator de impact</v>
      </c>
      <c r="F178" s="615" t="str">
        <f>IF(ISBLANK(F127),"",(F127))</f>
        <v>HIV</v>
      </c>
      <c r="G178" s="199" t="s">
        <v>359</v>
      </c>
      <c r="H178" s="284">
        <f t="shared" si="6"/>
        <v>9.69</v>
      </c>
      <c r="I178" s="284">
        <f t="shared" ref="I178:L179" si="8">I127</f>
        <v>9.69</v>
      </c>
      <c r="J178" s="284">
        <f t="shared" si="8"/>
        <v>0</v>
      </c>
      <c r="K178" s="284">
        <f t="shared" si="8"/>
        <v>0</v>
      </c>
      <c r="L178" s="284">
        <f t="shared" si="8"/>
        <v>0</v>
      </c>
      <c r="M178" s="284">
        <f t="shared" si="7"/>
        <v>0</v>
      </c>
      <c r="N178" s="284">
        <f t="shared" si="7"/>
        <v>0</v>
      </c>
      <c r="O178" s="284">
        <f t="shared" si="7"/>
        <v>0</v>
      </c>
      <c r="P178" s="284">
        <f t="shared" si="7"/>
        <v>0</v>
      </c>
      <c r="Q178" s="284">
        <f t="shared" si="7"/>
        <v>0</v>
      </c>
      <c r="R178" s="284">
        <f t="shared" si="7"/>
        <v>0</v>
      </c>
      <c r="S178" s="285">
        <f t="shared" si="7"/>
        <v>0</v>
      </c>
    </row>
    <row r="179" spans="2:19" ht="30.75" hidden="1" customHeight="1" thickBot="1">
      <c r="B179" s="596"/>
      <c r="C179" s="597"/>
      <c r="D179" s="598"/>
      <c r="E179" s="618"/>
      <c r="F179" s="616"/>
      <c r="G179" s="204" t="s">
        <v>360</v>
      </c>
      <c r="H179" s="289" t="str">
        <f t="shared" si="6"/>
        <v>n/a</v>
      </c>
      <c r="I179" s="289" t="str">
        <f t="shared" si="8"/>
        <v>n/a</v>
      </c>
      <c r="J179" s="289">
        <f t="shared" si="8"/>
        <v>0</v>
      </c>
      <c r="K179" s="289">
        <f t="shared" si="8"/>
        <v>0</v>
      </c>
      <c r="L179" s="289">
        <f t="shared" si="8"/>
        <v>0</v>
      </c>
      <c r="M179" s="289">
        <f t="shared" si="7"/>
        <v>0</v>
      </c>
      <c r="N179" s="289">
        <f t="shared" si="7"/>
        <v>0</v>
      </c>
      <c r="O179" s="289">
        <f t="shared" si="7"/>
        <v>0</v>
      </c>
      <c r="P179" s="289">
        <f t="shared" si="7"/>
        <v>0</v>
      </c>
      <c r="Q179" s="289">
        <f t="shared" si="7"/>
        <v>0</v>
      </c>
      <c r="R179" s="289">
        <f t="shared" si="7"/>
        <v>0</v>
      </c>
      <c r="S179" s="290">
        <f t="shared" si="7"/>
        <v>0</v>
      </c>
    </row>
    <row r="180" spans="2:19">
      <c r="S180" s="418"/>
    </row>
  </sheetData>
  <autoFilter ref="B122:S122" xr:uid="{00000000-0001-0000-0200-000000000000}">
    <filterColumn colId="0" showButton="0"/>
    <filterColumn colId="1" showButton="0"/>
  </autoFilter>
  <dataConsolidate/>
  <mergeCells count="116">
    <mergeCell ref="B171:D172"/>
    <mergeCell ref="E171:E172"/>
    <mergeCell ref="F171:F172"/>
    <mergeCell ref="B161:D162"/>
    <mergeCell ref="E161:E162"/>
    <mergeCell ref="F161:F162"/>
    <mergeCell ref="B163:D164"/>
    <mergeCell ref="E163:E164"/>
    <mergeCell ref="F163:F164"/>
    <mergeCell ref="B169:D170"/>
    <mergeCell ref="E169:E170"/>
    <mergeCell ref="F169:F170"/>
    <mergeCell ref="B165:D166"/>
    <mergeCell ref="E165:E166"/>
    <mergeCell ref="F165:F166"/>
    <mergeCell ref="B167:D168"/>
    <mergeCell ref="E167:E168"/>
    <mergeCell ref="F167:F168"/>
    <mergeCell ref="B149:D150"/>
    <mergeCell ref="E149:E150"/>
    <mergeCell ref="F149:F150"/>
    <mergeCell ref="B151:D152"/>
    <mergeCell ref="E151:E152"/>
    <mergeCell ref="F151:F152"/>
    <mergeCell ref="E159:E160"/>
    <mergeCell ref="F159:F160"/>
    <mergeCell ref="B153:D154"/>
    <mergeCell ref="E153:E154"/>
    <mergeCell ref="F153:F154"/>
    <mergeCell ref="B155:D156"/>
    <mergeCell ref="E155:E156"/>
    <mergeCell ref="F155:F156"/>
    <mergeCell ref="B157:D158"/>
    <mergeCell ref="E157:E158"/>
    <mergeCell ref="F157:F158"/>
    <mergeCell ref="B159:D160"/>
    <mergeCell ref="B145:D146"/>
    <mergeCell ref="E145:E146"/>
    <mergeCell ref="F145:F146"/>
    <mergeCell ref="B147:D148"/>
    <mergeCell ref="E147:E148"/>
    <mergeCell ref="F147:F148"/>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8:C78"/>
    <mergeCell ref="B122:D122"/>
    <mergeCell ref="B26:C26"/>
    <mergeCell ref="D24:E24"/>
    <mergeCell ref="B29:N29"/>
    <mergeCell ref="B66:D66"/>
    <mergeCell ref="G24:H24"/>
    <mergeCell ref="I24:J24"/>
    <mergeCell ref="B127:D128"/>
    <mergeCell ref="B18:C18"/>
    <mergeCell ref="D18:F18"/>
    <mergeCell ref="B21:J21"/>
    <mergeCell ref="E10:F10"/>
    <mergeCell ref="B178:D179"/>
    <mergeCell ref="E176:E177"/>
    <mergeCell ref="B176:D177"/>
    <mergeCell ref="B131:D132"/>
    <mergeCell ref="B133:D134"/>
    <mergeCell ref="B137:D138"/>
    <mergeCell ref="E131:E132"/>
    <mergeCell ref="E133:E134"/>
    <mergeCell ref="B139:D140"/>
    <mergeCell ref="B174:D175"/>
    <mergeCell ref="E139:E140"/>
    <mergeCell ref="B135:D136"/>
    <mergeCell ref="F178:F179"/>
    <mergeCell ref="E178:E179"/>
    <mergeCell ref="F137:F138"/>
    <mergeCell ref="E137:E138"/>
    <mergeCell ref="F135:F136"/>
    <mergeCell ref="E135:E136"/>
    <mergeCell ref="F176:F177"/>
    <mergeCell ref="F174:F175"/>
    <mergeCell ref="F139:F140"/>
    <mergeCell ref="E174:E175"/>
    <mergeCell ref="B141:D142"/>
    <mergeCell ref="E141:E142"/>
    <mergeCell ref="F141:F142"/>
    <mergeCell ref="B143:D144"/>
    <mergeCell ref="E143:E144"/>
    <mergeCell ref="F143:F144"/>
    <mergeCell ref="B129:D130"/>
    <mergeCell ref="O31:O34"/>
    <mergeCell ref="E123:E124"/>
    <mergeCell ref="F123:F124"/>
    <mergeCell ref="F125:F126"/>
    <mergeCell ref="E125:E126"/>
    <mergeCell ref="F133:F134"/>
    <mergeCell ref="B123:D124"/>
    <mergeCell ref="F127:F128"/>
    <mergeCell ref="B125:D126"/>
    <mergeCell ref="B79:C79"/>
    <mergeCell ref="E129:E130"/>
    <mergeCell ref="F129:F130"/>
    <mergeCell ref="E127:E128"/>
    <mergeCell ref="B77:C77"/>
    <mergeCell ref="F131:F132"/>
    <mergeCell ref="B114:B117"/>
  </mergeCells>
  <phoneticPr fontId="23" type="noConversion"/>
  <conditionalFormatting sqref="B34 B32 E32:H32 D33:N33">
    <cfRule type="expression" dxfId="56" priority="8" stopIfTrue="1">
      <formula>+AND(B31&gt;=#REF!,B31&lt;=#REF!)</formula>
    </cfRule>
  </conditionalFormatting>
  <conditionalFormatting sqref="D34:N34">
    <cfRule type="expression" dxfId="55" priority="9" stopIfTrue="1">
      <formula>+AND(D32&gt;=#REF!,D32&lt;=#REF!)</formula>
    </cfRule>
  </conditionalFormatting>
  <conditionalFormatting sqref="C30:N30 C100:N100">
    <cfRule type="cellIs" dxfId="54" priority="12" stopIfTrue="1" operator="equal">
      <formula>$C$16</formula>
    </cfRule>
  </conditionalFormatting>
  <conditionalFormatting sqref="C12:D12">
    <cfRule type="cellIs" dxfId="53" priority="14" stopIfTrue="1" operator="equal">
      <formula>"C"</formula>
    </cfRule>
    <cfRule type="cellIs" dxfId="52" priority="15" stopIfTrue="1" operator="equal">
      <formula>"B2"</formula>
    </cfRule>
    <cfRule type="cellIs" dxfId="51" priority="16" stopIfTrue="1" operator="equal">
      <formula>"B1"</formula>
    </cfRule>
  </conditionalFormatting>
  <conditionalFormatting sqref="H173:S173 H122:S122">
    <cfRule type="cellIs" dxfId="50" priority="23" stopIfTrue="1" operator="equal">
      <formula>$C$16</formula>
    </cfRule>
  </conditionalFormatting>
  <conditionalFormatting sqref="C34">
    <cfRule type="expression" dxfId="49" priority="3" stopIfTrue="1">
      <formula>+AND(C32&gt;=#REF!,C32&lt;=#REF!)</formula>
    </cfRule>
  </conditionalFormatting>
  <conditionalFormatting sqref="F39:F51">
    <cfRule type="cellIs" dxfId="48" priority="1" operator="greaterThan">
      <formula>1.05</formula>
    </cfRule>
    <cfRule type="cellIs" dxfId="47" priority="2" operator="lessThan">
      <formula>0.7</formula>
    </cfRule>
  </conditionalFormatting>
  <dataValidations count="9">
    <dataValidation type="list" allowBlank="1" showInputMessage="1" showErrorMessage="1" sqref="B114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4:C117"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4" max="16383" man="1"/>
    <brk id="110" max="14" man="1"/>
  </rowBreaks>
  <ignoredErrors>
    <ignoredError sqref="H173:S173 E174 D59:D6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7"/>
  <sheetViews>
    <sheetView showGridLines="0" zoomScale="110" zoomScaleNormal="110" zoomScaleSheetLayoutView="100" workbookViewId="0">
      <selection activeCell="M18" sqref="M18"/>
    </sheetView>
  </sheetViews>
  <sheetFormatPr defaultColWidth="11.42578125" defaultRowHeight="15"/>
  <cols>
    <col min="1" max="1" width="22.5703125" customWidth="1"/>
    <col min="2" max="2" width="12.5703125" customWidth="1"/>
    <col min="3" max="3" width="20.5703125" customWidth="1"/>
    <col min="4" max="4" width="21.57031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5703125" customWidth="1"/>
    <col min="15" max="15" width="7.140625" customWidth="1"/>
  </cols>
  <sheetData>
    <row r="1" spans="1:24" ht="21" customHeight="1">
      <c r="G1" s="127"/>
    </row>
    <row r="2" spans="1:24" ht="25.5" customHeight="1"/>
    <row r="3" spans="1:24" ht="36">
      <c r="B3" s="662" t="str">
        <f>+"Tabel Programatic de Evaluare: "&amp;" "&amp;+IF('Introducerea datelor'!C4="Please Select","",'Introducerea datelor'!C4&amp;" - ")&amp;+IF('Introducerea datelor'!G6="Please Select","",'Introducerea datelor'!G6)</f>
        <v>Tabel Programatic de Evaluare:  Moldova - HIVAIDS / TB</v>
      </c>
      <c r="C3" s="662"/>
      <c r="D3" s="662"/>
      <c r="E3" s="662"/>
      <c r="F3" s="662"/>
      <c r="G3" s="662"/>
      <c r="H3" s="662"/>
      <c r="I3" s="662"/>
      <c r="J3" s="662"/>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369" t="s">
        <v>278</v>
      </c>
      <c r="B6" s="663" t="str">
        <f>+IF('Introducerea datelor'!C4="Please Select","",'Introducerea datelor'!C4)</f>
        <v>Moldova</v>
      </c>
      <c r="C6" s="663"/>
      <c r="D6" s="666" t="s">
        <v>282</v>
      </c>
      <c r="E6" s="666"/>
      <c r="F6" s="667" t="str">
        <f>+'Introducerea datelor'!G4</f>
        <v>Consolidarea controlului tuberculozei și reducerea SIDA și a mortalității aferente în Republica Moldova</v>
      </c>
      <c r="G6" s="667"/>
      <c r="H6" s="667"/>
      <c r="I6" s="667"/>
      <c r="J6" s="667"/>
      <c r="K6" s="23"/>
      <c r="L6" s="41"/>
      <c r="M6" s="23"/>
      <c r="N6" s="23"/>
      <c r="O6" s="23"/>
      <c r="P6" s="24"/>
      <c r="Q6" s="12"/>
      <c r="R6" s="12"/>
      <c r="S6" s="12"/>
      <c r="T6" s="12"/>
      <c r="U6" s="12"/>
    </row>
    <row r="7" spans="1:24" ht="8.25" customHeight="1">
      <c r="B7" s="4"/>
      <c r="C7" s="5"/>
      <c r="D7" s="5"/>
      <c r="E7" s="6"/>
      <c r="F7" s="6"/>
      <c r="G7" s="5"/>
      <c r="H7" s="5"/>
      <c r="K7" s="23"/>
      <c r="L7" s="23"/>
      <c r="M7" s="23"/>
      <c r="N7" s="23"/>
      <c r="O7" s="23"/>
      <c r="P7" s="24"/>
      <c r="Q7" s="12"/>
      <c r="R7" s="12"/>
      <c r="S7" s="12"/>
      <c r="T7" s="12"/>
      <c r="U7" s="12"/>
    </row>
    <row r="8" spans="1:24" ht="3.75" customHeight="1">
      <c r="C8" s="7"/>
      <c r="D8" s="7"/>
      <c r="E8" s="7"/>
      <c r="F8" s="7"/>
      <c r="G8" s="7"/>
      <c r="H8" s="7"/>
      <c r="I8" s="7"/>
      <c r="J8" s="7"/>
      <c r="K8" s="23"/>
      <c r="L8" s="23"/>
      <c r="M8" s="23"/>
      <c r="N8" s="23"/>
      <c r="O8" s="25"/>
      <c r="P8" s="24"/>
      <c r="Q8" s="25"/>
      <c r="R8" s="26"/>
      <c r="S8" s="12"/>
      <c r="T8" s="12"/>
      <c r="U8" s="12"/>
    </row>
    <row r="9" spans="1:24" ht="25.5" customHeight="1">
      <c r="A9" s="368" t="s">
        <v>283</v>
      </c>
      <c r="B9" s="162" t="str">
        <f>+IF('Introducerea datelor'!G6="Please Select","",'Introducerea datelor'!G6)</f>
        <v>HIVAIDS / TB</v>
      </c>
      <c r="C9" s="109" t="s">
        <v>245</v>
      </c>
      <c r="D9" s="163" t="str">
        <f>+'Introducerea datelor'!C6</f>
        <v>MDA-C-PCIMU</v>
      </c>
      <c r="E9" s="665" t="s">
        <v>365</v>
      </c>
      <c r="F9" s="665"/>
      <c r="G9" s="211">
        <f>+IF(ISBLANK('Introducerea datelor'!C10),"",'Introducerea datelor'!C10)</f>
        <v>44197</v>
      </c>
      <c r="H9" s="368" t="s">
        <v>284</v>
      </c>
      <c r="I9" s="664">
        <f>+IF(ISBLANK('Introducerea datelor'!I6),"",'Introducerea datelor'!I6)</f>
        <v>23082608</v>
      </c>
      <c r="J9" s="664"/>
      <c r="K9" s="23"/>
      <c r="L9" s="23"/>
      <c r="M9" s="23"/>
      <c r="N9" s="23"/>
      <c r="O9" s="25"/>
      <c r="P9" s="24"/>
      <c r="Q9" s="25"/>
      <c r="R9" s="26"/>
      <c r="S9" s="12"/>
      <c r="T9" s="8"/>
      <c r="U9" s="8"/>
      <c r="V9" s="7"/>
      <c r="W9" s="7"/>
      <c r="X9" s="7"/>
    </row>
    <row r="10" spans="1:24" ht="25.5" customHeight="1">
      <c r="A10" s="368" t="s">
        <v>285</v>
      </c>
      <c r="B10" s="164" t="str">
        <f>+IF('Introducerea datelor'!G8="Please Select","",'Introducerea datelor'!G8)</f>
        <v/>
      </c>
      <c r="C10" s="109" t="s">
        <v>286</v>
      </c>
      <c r="D10" s="165" t="str">
        <f>+IF('Introducerea datelor'!I8="Please Select","",'Introducerea datelor'!I8)</f>
        <v>Period 1</v>
      </c>
      <c r="E10" s="657" t="s">
        <v>366</v>
      </c>
      <c r="F10" s="657"/>
      <c r="G10" s="656" t="str">
        <f>+'Introducerea datelor'!C8</f>
        <v>IP UCIMP DS</v>
      </c>
      <c r="H10" s="656"/>
      <c r="I10" s="656"/>
      <c r="J10" s="656"/>
      <c r="K10" s="12"/>
      <c r="L10" s="12"/>
      <c r="M10" s="23"/>
      <c r="N10" s="12"/>
      <c r="O10" s="25"/>
      <c r="P10" s="24"/>
      <c r="Q10" s="8"/>
      <c r="R10" s="26"/>
      <c r="S10" s="12"/>
      <c r="T10" s="8"/>
      <c r="U10" s="8"/>
    </row>
    <row r="11" spans="1:24" ht="25.5" customHeight="1">
      <c r="A11" s="368" t="s">
        <v>289</v>
      </c>
      <c r="B11" s="367" t="str">
        <f>+'Introducerea datelor'!C16</f>
        <v>P2</v>
      </c>
      <c r="C11" s="155" t="s">
        <v>290</v>
      </c>
      <c r="D11" s="370">
        <f>+IF(ISBLANK('Introducerea datelor'!E16),"",'Introducerea datelor'!E16)</f>
        <v>44378</v>
      </c>
      <c r="E11" s="665" t="s">
        <v>291</v>
      </c>
      <c r="F11" s="665"/>
      <c r="G11" s="370">
        <f>+IF(ISBLANK('Introducerea datelor'!G16),"",'Introducerea datelor'!G16)</f>
        <v>44561</v>
      </c>
      <c r="H11" s="368" t="s">
        <v>281</v>
      </c>
      <c r="I11" s="658" t="str">
        <f>+IF('Introducerea datelor'!C12="Please Select","",'Introducerea datelor'!C12)</f>
        <v>B1</v>
      </c>
      <c r="J11" s="658"/>
      <c r="K11" s="126"/>
      <c r="L11" s="12"/>
      <c r="M11" s="23"/>
      <c r="N11" s="12"/>
      <c r="O11" s="12"/>
      <c r="P11" s="24"/>
      <c r="Q11" s="8"/>
      <c r="R11" s="26"/>
      <c r="S11" s="12"/>
      <c r="T11" s="9"/>
      <c r="U11" s="8"/>
    </row>
    <row r="12" spans="1:24" ht="25.5" customHeight="1">
      <c r="A12" s="368" t="s">
        <v>287</v>
      </c>
      <c r="B12" s="656" t="str">
        <f>+IF('Introducerea datelor'!G10="Please Select","",'Introducerea datelor'!G10)</f>
        <v>PwC (PricewaterhouseCoopers)</v>
      </c>
      <c r="C12" s="656"/>
      <c r="D12" s="656"/>
      <c r="E12" s="657" t="s">
        <v>230</v>
      </c>
      <c r="F12" s="657"/>
      <c r="G12" s="656" t="str">
        <f>+'Introducerea datelor'!G12</f>
        <v>Tsovinar Sakanyan</v>
      </c>
      <c r="H12" s="656"/>
      <c r="I12" s="656"/>
      <c r="J12" s="656"/>
      <c r="K12" s="12"/>
      <c r="L12" s="12"/>
      <c r="M12" s="23"/>
      <c r="N12" s="12"/>
      <c r="O12" s="12"/>
      <c r="P12" s="24"/>
      <c r="Q12" s="8"/>
      <c r="R12" s="26"/>
      <c r="S12" s="12"/>
      <c r="T12" s="8"/>
      <c r="U12" s="27"/>
      <c r="V12" s="8"/>
      <c r="W12" s="9"/>
      <c r="X12" s="8"/>
    </row>
    <row r="13" spans="1:24" ht="30.75" customHeight="1">
      <c r="A13" s="368" t="s">
        <v>367</v>
      </c>
      <c r="B13" s="656" t="str">
        <f>+'Introducerea datelor'!D18</f>
        <v>IP UCIMP DS</v>
      </c>
      <c r="C13" s="656"/>
      <c r="D13" s="656"/>
      <c r="E13" s="659" t="s">
        <v>368</v>
      </c>
      <c r="F13" s="659"/>
      <c r="G13" s="660">
        <f>+IF(ISBLANK('Introducerea datelor'!J16),"",'Introducerea datelor'!J16)</f>
        <v>44650</v>
      </c>
      <c r="H13" s="661"/>
      <c r="I13" s="661"/>
      <c r="J13" s="661"/>
      <c r="K13" s="12"/>
      <c r="L13" s="13"/>
      <c r="M13" s="13"/>
      <c r="N13" s="13"/>
      <c r="O13" s="12"/>
      <c r="P13" s="13"/>
      <c r="Q13" s="13"/>
      <c r="R13" s="26"/>
      <c r="S13" s="12"/>
      <c r="T13" s="13"/>
      <c r="U13" s="28"/>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12"/>
      <c r="D16" s="10"/>
      <c r="E16" s="171"/>
      <c r="L16" s="10"/>
      <c r="M16" s="10"/>
      <c r="N16" s="10"/>
      <c r="O16" s="10"/>
      <c r="P16" s="10"/>
      <c r="Q16" s="10"/>
      <c r="R16" s="10"/>
      <c r="S16" s="10"/>
      <c r="T16" s="10"/>
      <c r="U16" s="10"/>
    </row>
    <row r="17" spans="1:5">
      <c r="A17" s="10"/>
      <c r="B17" s="10"/>
      <c r="C17" s="10"/>
      <c r="D17" s="10"/>
      <c r="E17" s="10"/>
    </row>
  </sheetData>
  <sheetProtection sheet="1" objects="1" scenarios="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46" priority="1" stopIfTrue="1" operator="equal">
      <formula>"C"</formula>
    </cfRule>
    <cfRule type="cellIs" dxfId="45" priority="2" stopIfTrue="1" operator="equal">
      <formula>"B2"</formula>
    </cfRule>
    <cfRule type="cellIs" dxfId="44"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4"/>
  <sheetViews>
    <sheetView showGridLines="0" topLeftCell="A21" zoomScale="130" zoomScaleNormal="130" zoomScaleSheetLayoutView="100" workbookViewId="0">
      <selection activeCell="O30" sqref="O30"/>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491"/>
      <c r="E1" s="81"/>
    </row>
    <row r="2" spans="1:16" ht="27.75" customHeight="1">
      <c r="B2" s="668" t="str">
        <f>+"Tabel Programatic de Evaluare:  "&amp;"  "&amp;IF(+'Introducerea datelor'!C4="Please Select","",'Introducerea datelor'!C4&amp;" - ")&amp;IF('Introducerea datelor'!G6="Please Select","",'Introducerea datelor'!G6)</f>
        <v>Tabel Programatic de Evaluare:    Moldova - HIVAIDS / TB</v>
      </c>
      <c r="C2" s="668"/>
      <c r="D2" s="668"/>
      <c r="E2" s="668"/>
      <c r="F2" s="668"/>
      <c r="G2" s="668"/>
      <c r="H2" s="668"/>
      <c r="I2" s="668"/>
      <c r="J2" s="668"/>
      <c r="K2" s="668"/>
      <c r="L2" s="668"/>
      <c r="M2" s="492"/>
      <c r="N2" s="492"/>
      <c r="O2" s="492"/>
      <c r="P2" s="492"/>
    </row>
    <row r="3" spans="1:16">
      <c r="B3" s="15" t="str">
        <f>+IF('Introducerea datelor'!G8="Please Select","",'Introducerea datelor'!G8)</f>
        <v/>
      </c>
      <c r="C3" s="673" t="str">
        <f>+IF('Introducerea datelor'!I8="Please Select","",'Introducerea datelor'!I8)</f>
        <v>Period 1</v>
      </c>
      <c r="D3" s="673"/>
      <c r="E3" s="671"/>
      <c r="F3" s="671"/>
      <c r="G3" s="671"/>
      <c r="H3" s="671"/>
      <c r="I3" s="671"/>
      <c r="J3" s="672" t="str">
        <f>+'Introducerea datelor'!B16</f>
        <v>Perioada de Raportare:</v>
      </c>
      <c r="K3" s="672"/>
      <c r="L3" s="99" t="str">
        <f>+'Introducerea datelor'!C16</f>
        <v>P2</v>
      </c>
    </row>
    <row r="4" spans="1:16">
      <c r="B4" s="15" t="str">
        <f>+'Introducerea datelor'!B12</f>
        <v>Ultimul Rating:</v>
      </c>
      <c r="C4" s="669" t="str">
        <f>+IF('Introducerea datelor'!C12="Please Select","",'Introducerea datelor'!C12)</f>
        <v>B1</v>
      </c>
      <c r="D4" s="669"/>
      <c r="E4" s="671" t="str">
        <f>+'Introducerea datelor'!C8</f>
        <v>IP UCIMP DS</v>
      </c>
      <c r="F4" s="671"/>
      <c r="G4" s="671"/>
      <c r="H4" s="671"/>
      <c r="I4" s="671"/>
      <c r="J4" s="672" t="str">
        <f>+'Introducerea datelor'!D16</f>
        <v>De la:</v>
      </c>
      <c r="K4" s="674"/>
      <c r="L4" s="230">
        <f>+IF(ISBLANK('Introducerea datelor'!E16),"",'Introducerea datelor'!E16)</f>
        <v>44378</v>
      </c>
    </row>
    <row r="5" spans="1:16" ht="27.75" customHeight="1">
      <c r="B5" s="15"/>
      <c r="C5" s="15"/>
      <c r="D5" s="680" t="str">
        <f>+'Introducerea datelor'!G4</f>
        <v>Consolidarea controlului tuberculozei și reducerea SIDA și a mortalității aferente în Republica Moldova</v>
      </c>
      <c r="E5" s="680"/>
      <c r="F5" s="680"/>
      <c r="G5" s="680"/>
      <c r="H5" s="680"/>
      <c r="I5" s="680"/>
      <c r="J5" s="680"/>
      <c r="K5" s="15" t="str">
        <f>+'Introducerea datelor'!F16</f>
        <v>Pînă la:</v>
      </c>
      <c r="L5" s="230">
        <f>+IF(ISBLANK('Introducerea datelor'!G16),"",'Introducerea datelor'!G16)</f>
        <v>44561</v>
      </c>
    </row>
    <row r="6" spans="1:16" ht="18.75">
      <c r="B6" s="14"/>
      <c r="C6" s="15"/>
      <c r="D6" s="84"/>
      <c r="E6" s="670" t="s">
        <v>373</v>
      </c>
      <c r="F6" s="670"/>
      <c r="G6" s="670"/>
      <c r="H6" s="670"/>
      <c r="I6" s="670"/>
    </row>
    <row r="7" spans="1:16" ht="26.25" customHeight="1">
      <c r="B7" s="675" t="str">
        <f>+'Introducerea datelor'!B75&amp;"                "&amp;+J3&amp;" "&amp;+L3</f>
        <v>M1: Statutul Condițiilor Precedente și a Acțiunilor Prestabilite în Timp                 Perioada de Raportare: P2</v>
      </c>
      <c r="C7" s="676"/>
      <c r="D7" s="676"/>
      <c r="E7" s="676"/>
      <c r="F7" s="676"/>
      <c r="H7" s="675" t="str">
        <f>+'Introducerea datelor'!B82&amp;"                                                                             "&amp;+J3&amp;"  "&amp;+L3</f>
        <v>M2: Statutul pozițiilor cheie a RP                                                                              Perioada de Raportare:  P2</v>
      </c>
      <c r="I7" s="676"/>
      <c r="J7" s="676"/>
      <c r="K7" s="676"/>
      <c r="L7" s="676"/>
    </row>
    <row r="8" spans="1:16" ht="96.75" customHeight="1">
      <c r="B8" s="493" t="s">
        <v>372</v>
      </c>
      <c r="C8" s="677"/>
      <c r="D8" s="682"/>
      <c r="E8" s="682"/>
      <c r="F8" s="683"/>
      <c r="G8" s="494"/>
      <c r="H8" s="493" t="s">
        <v>372</v>
      </c>
      <c r="I8" s="677" t="s">
        <v>528</v>
      </c>
      <c r="J8" s="678"/>
      <c r="K8" s="678"/>
      <c r="L8" s="679"/>
    </row>
    <row r="9" spans="1:16" ht="22.5" customHeight="1"/>
    <row r="10" spans="1:16" ht="21" customHeight="1">
      <c r="A10" s="495"/>
      <c r="D10" s="684"/>
      <c r="E10" s="681"/>
      <c r="F10" s="681"/>
      <c r="G10" s="22"/>
      <c r="N10" s="496"/>
      <c r="O10" s="496"/>
      <c r="P10" s="291"/>
    </row>
    <row r="11" spans="1:16">
      <c r="C11" s="67"/>
      <c r="D11" s="684"/>
      <c r="E11" s="67"/>
      <c r="F11" s="67"/>
      <c r="G11" s="67"/>
      <c r="H11" s="67"/>
    </row>
    <row r="12" spans="1:16">
      <c r="B12" s="67"/>
      <c r="C12" s="402"/>
      <c r="D12" s="497"/>
      <c r="E12" s="497"/>
      <c r="F12" s="497"/>
      <c r="G12" s="497"/>
      <c r="H12" s="498"/>
      <c r="N12" s="499"/>
    </row>
    <row r="13" spans="1:16">
      <c r="B13" s="67"/>
      <c r="C13" s="402"/>
      <c r="D13" s="497"/>
      <c r="E13" s="497"/>
      <c r="F13" s="497"/>
      <c r="G13" s="497"/>
      <c r="H13" s="498"/>
    </row>
    <row r="14" spans="1:16" ht="27" customHeight="1"/>
    <row r="15" spans="1:16" ht="35.25" customHeight="1">
      <c r="B15" s="675" t="str">
        <f>+'Introducerea datelor'!B87&amp;"                                                                                                 "&amp;+J3&amp;" "&amp;+L3</f>
        <v>M3: Aranjamente contractuale (SR)                                                                                                  Perioada de Raportare: P2</v>
      </c>
      <c r="C15" s="676"/>
      <c r="D15" s="676"/>
      <c r="E15" s="676"/>
      <c r="F15" s="676"/>
      <c r="G15" s="676"/>
      <c r="H15" s="675" t="str">
        <f>+'Introducerea datelor'!B92&amp;"                        "&amp;+J3&amp;" "&amp;+L3</f>
        <v>M4: Numărul rapoartelor complete recepționate la timp                        Perioada de Raportare: P2</v>
      </c>
      <c r="I15" s="676"/>
      <c r="J15" s="676"/>
      <c r="K15" s="676"/>
      <c r="L15" s="676"/>
    </row>
    <row r="16" spans="1:16" ht="79.5" customHeight="1">
      <c r="B16" s="493" t="s">
        <v>372</v>
      </c>
      <c r="C16" s="677" t="s">
        <v>520</v>
      </c>
      <c r="D16" s="678"/>
      <c r="E16" s="678"/>
      <c r="F16" s="679"/>
      <c r="G16" s="494"/>
      <c r="H16" s="493" t="s">
        <v>372</v>
      </c>
      <c r="I16" s="677" t="s">
        <v>541</v>
      </c>
      <c r="J16" s="682"/>
      <c r="K16" s="682"/>
      <c r="L16" s="683"/>
    </row>
    <row r="17" spans="2:13">
      <c r="B17" s="118"/>
      <c r="H17" s="118"/>
    </row>
    <row r="18" spans="2:13">
      <c r="M18" s="500"/>
    </row>
    <row r="26" spans="2:13" ht="40.5" customHeight="1">
      <c r="B26" s="675" t="str">
        <f>+'Introducerea datelor'!B98</f>
        <v xml:space="preserve">M5: Bugetul și Procurarea produselor medicale, echipamentului medical, medicamentelor și produselor farmaceutice </v>
      </c>
      <c r="C26" s="676"/>
      <c r="D26" s="676"/>
      <c r="E26" s="676"/>
      <c r="F26" s="676"/>
      <c r="H26" s="675" t="str">
        <f>+'Introducerea datelor'!B111&amp;"                                                                "&amp;+J3&amp;"  "&amp;+L3</f>
        <v>M6: Diferență între stocul curent și stocul de siguranță                                                                Perioada de Raportare:  P2</v>
      </c>
      <c r="I26" s="676"/>
      <c r="J26" s="676"/>
      <c r="K26" s="676"/>
      <c r="L26" s="676"/>
    </row>
    <row r="27" spans="2:13" ht="54.75" customHeight="1">
      <c r="B27" s="493" t="s">
        <v>372</v>
      </c>
      <c r="C27" s="677"/>
      <c r="D27" s="678"/>
      <c r="E27" s="678"/>
      <c r="F27" s="679"/>
      <c r="G27" s="494"/>
      <c r="H27" s="493" t="s">
        <v>1</v>
      </c>
      <c r="I27" s="677" t="s">
        <v>543</v>
      </c>
      <c r="J27" s="682"/>
      <c r="K27" s="682"/>
      <c r="L27" s="683"/>
    </row>
    <row r="28" spans="2:13" ht="15.75" thickBot="1"/>
    <row r="29" spans="2:13" ht="59.25" customHeight="1">
      <c r="F29" s="157"/>
      <c r="G29" s="157"/>
      <c r="H29" s="206" t="s">
        <v>349</v>
      </c>
      <c r="I29" s="205" t="s">
        <v>374</v>
      </c>
      <c r="J29" s="166" t="s">
        <v>376</v>
      </c>
      <c r="K29" s="106" t="s">
        <v>377</v>
      </c>
      <c r="L29" s="156" t="s">
        <v>378</v>
      </c>
    </row>
    <row r="30" spans="2:13" ht="15" customHeight="1">
      <c r="F30" s="157"/>
      <c r="G30" s="157"/>
      <c r="H30" s="686" t="str">
        <f>+'Introducerea datelor'!B114</f>
        <v>Please Select</v>
      </c>
      <c r="I30" s="375" t="str">
        <f>+'Introducerea datelor'!C114</f>
        <v>Please Select</v>
      </c>
      <c r="J30" s="376" t="str">
        <f>+'Introducerea datelor'!I114</f>
        <v/>
      </c>
      <c r="K30" s="377">
        <f>+'Introducerea datelor'!J114</f>
        <v>0</v>
      </c>
      <c r="L30" s="378" t="str">
        <f>+'Introducerea datelor'!K114</f>
        <v/>
      </c>
    </row>
    <row r="31" spans="2:13">
      <c r="F31" s="157"/>
      <c r="G31" s="157"/>
      <c r="H31" s="687"/>
      <c r="I31" s="375" t="str">
        <f>+'Introducerea datelor'!C115</f>
        <v>Please Select</v>
      </c>
      <c r="J31" s="376" t="str">
        <f>+'Introducerea datelor'!I115</f>
        <v/>
      </c>
      <c r="K31" s="377">
        <f>+'Introducerea datelor'!J115</f>
        <v>0</v>
      </c>
      <c r="L31" s="379" t="str">
        <f>+'Introducerea datelor'!K115</f>
        <v/>
      </c>
    </row>
    <row r="32" spans="2:13">
      <c r="F32" s="157"/>
      <c r="G32" s="157"/>
      <c r="H32" s="687"/>
      <c r="I32" s="375" t="str">
        <f>+'Introducerea datelor'!C116</f>
        <v>Please Select</v>
      </c>
      <c r="J32" s="376" t="str">
        <f>+'Introducerea datelor'!I116</f>
        <v/>
      </c>
      <c r="K32" s="377">
        <f>+'Introducerea datelor'!J116</f>
        <v>0</v>
      </c>
      <c r="L32" s="378" t="str">
        <f>+'Introducerea datelor'!K116</f>
        <v/>
      </c>
    </row>
    <row r="33" spans="2:12" ht="30" customHeight="1" thickBot="1">
      <c r="F33" s="157"/>
      <c r="G33" s="157"/>
      <c r="H33" s="688"/>
      <c r="I33" s="380" t="str">
        <f>+'Introducerea datelor'!C117</f>
        <v>Please Select</v>
      </c>
      <c r="J33" s="381" t="str">
        <f>+'Introducerea datelor'!I117</f>
        <v/>
      </c>
      <c r="K33" s="382">
        <f>+'Introducerea datelor'!J117</f>
        <v>0</v>
      </c>
      <c r="L33" s="378" t="str">
        <f>+'Introducerea datelor'!K117</f>
        <v/>
      </c>
    </row>
    <row r="34" spans="2:12" ht="22.5" customHeight="1">
      <c r="B34" s="685" t="str">
        <f>+'Introducerea datelor'!B108</f>
        <v>* Include numai AFR categoriile 4,5 și 6  (Produse medicale și Echipamente medicale &amp; Medicamente și Produse farmaceutice)</v>
      </c>
      <c r="C34" s="685"/>
      <c r="D34" s="685"/>
      <c r="E34" s="685"/>
      <c r="H34" s="501"/>
      <c r="I34" s="99"/>
      <c r="J34" s="502"/>
      <c r="K34" s="22"/>
    </row>
  </sheetData>
  <sheetProtection sheet="1" objects="1" scenarios="1"/>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43" priority="1" stopIfTrue="1" operator="greaterThan">
      <formula>0</formula>
    </cfRule>
  </conditionalFormatting>
  <conditionalFormatting sqref="E12:E13">
    <cfRule type="cellIs" dxfId="42" priority="2" stopIfTrue="1" operator="greaterThan">
      <formula>0</formula>
    </cfRule>
  </conditionalFormatting>
  <conditionalFormatting sqref="F12:G13">
    <cfRule type="cellIs" dxfId="41" priority="3" stopIfTrue="1" operator="greaterThan">
      <formula>0</formula>
    </cfRule>
  </conditionalFormatting>
  <conditionalFormatting sqref="C4:D4">
    <cfRule type="cellIs" dxfId="40" priority="4" stopIfTrue="1" operator="equal">
      <formula>"C"</formula>
    </cfRule>
    <cfRule type="cellIs" dxfId="39" priority="5" stopIfTrue="1" operator="equal">
      <formula>"B2"</formula>
    </cfRule>
    <cfRule type="cellIs" dxfId="38" priority="6" stopIfTrue="1" operator="equal">
      <formula>"B1"</formula>
    </cfRule>
  </conditionalFormatting>
  <conditionalFormatting sqref="L30 L32:L33">
    <cfRule type="cellIs" dxfId="37" priority="13" stopIfTrue="1" operator="lessThan">
      <formula>1</formula>
    </cfRule>
    <cfRule type="cellIs" dxfId="36" priority="14" stopIfTrue="1" operator="between">
      <formula>3</formula>
      <formula>17</formula>
    </cfRule>
    <cfRule type="cellIs" dxfId="35" priority="15" stopIfTrue="1" operator="between">
      <formula>1</formula>
      <formula>3</formula>
    </cfRule>
  </conditionalFormatting>
  <conditionalFormatting sqref="L31">
    <cfRule type="cellIs" dxfId="34" priority="16" stopIfTrue="1" operator="lessThan">
      <formula>1</formula>
    </cfRule>
    <cfRule type="cellIs" dxfId="33" priority="17" stopIfTrue="1" operator="between">
      <formula>3</formula>
      <formula>100</formula>
    </cfRule>
    <cfRule type="cellIs" dxfId="32"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B1:O32"/>
  <sheetViews>
    <sheetView showGridLines="0" view="pageBreakPreview" topLeftCell="A13" zoomScaleNormal="100" zoomScaleSheetLayoutView="100" workbookViewId="0">
      <selection activeCell="F38" sqref="F38"/>
    </sheetView>
  </sheetViews>
  <sheetFormatPr defaultColWidth="11" defaultRowHeight="15"/>
  <cols>
    <col min="1" max="6" width="19.42578125" customWidth="1"/>
    <col min="7" max="7" width="3.85546875" customWidth="1"/>
    <col min="8" max="11" width="24.28515625" customWidth="1"/>
  </cols>
  <sheetData>
    <row r="1" spans="2:15" ht="30.75" customHeight="1"/>
    <row r="2" spans="2:15" ht="27.75" customHeight="1">
      <c r="B2" s="689" t="str">
        <f>+"Tabel Programatic de Evaluare:  "&amp;"  "&amp;IF(+'Introducerea datelor'!C4="Please Select","",'Introducerea datelor'!C4&amp;" - ")&amp;IF('Introducerea datelor'!G6="Please Select","",'Introducerea datelor'!G6)</f>
        <v>Tabel Programatic de Evaluare:    Moldova - HIVAIDS / TB</v>
      </c>
      <c r="C2" s="689"/>
      <c r="D2" s="689"/>
      <c r="E2" s="689"/>
      <c r="F2" s="689"/>
      <c r="G2" s="689"/>
      <c r="H2" s="689"/>
      <c r="I2" s="689"/>
      <c r="J2" s="689"/>
      <c r="K2" s="689"/>
      <c r="L2" s="1"/>
      <c r="M2" s="1"/>
      <c r="N2" s="1"/>
      <c r="O2" s="1"/>
    </row>
    <row r="3" spans="2:15">
      <c r="B3" s="15" t="str">
        <f>+IF('Introducerea datelor'!G8="Please Select","",'Introducerea datelor'!G8)</f>
        <v/>
      </c>
      <c r="C3" s="673" t="str">
        <f>+IF('Introducerea datelor'!I8="Please Select","",'Introducerea datelor'!I8)</f>
        <v>Period 1</v>
      </c>
      <c r="D3" s="673"/>
      <c r="E3" s="671"/>
      <c r="F3" s="671"/>
      <c r="G3" s="671"/>
      <c r="H3" s="671"/>
      <c r="I3" s="672" t="str">
        <f>+'Introducerea datelor'!B16</f>
        <v>Perioada de Raportare:</v>
      </c>
      <c r="J3" s="672"/>
      <c r="K3" s="99" t="str">
        <f>+'Introducerea datelor'!C16</f>
        <v>P2</v>
      </c>
      <c r="L3" s="500"/>
    </row>
    <row r="4" spans="2:15">
      <c r="B4" s="15" t="str">
        <f>+'Introducerea datelor'!B12</f>
        <v>Ultimul Rating:</v>
      </c>
      <c r="C4" s="669" t="str">
        <f>+IF('Introducerea datelor'!C12="Please Select","",'Introducerea datelor'!C12)</f>
        <v>B1</v>
      </c>
      <c r="D4" s="669"/>
      <c r="E4" s="671" t="str">
        <f>+'Introducerea datelor'!C8</f>
        <v>IP UCIMP DS</v>
      </c>
      <c r="F4" s="671"/>
      <c r="G4" s="671"/>
      <c r="H4" s="671"/>
      <c r="I4" s="672" t="str">
        <f>+'Introducerea datelor'!D16</f>
        <v>De la:</v>
      </c>
      <c r="J4" s="674"/>
      <c r="K4" s="230">
        <f>+IF(ISBLANK('Introducerea datelor'!E16),"",'Introducerea datelor'!E16)</f>
        <v>44378</v>
      </c>
    </row>
    <row r="5" spans="2:15" ht="18.75" customHeight="1">
      <c r="B5" s="15"/>
      <c r="C5" s="15"/>
      <c r="D5" s="680" t="str">
        <f>+'Introducerea datelor'!G4</f>
        <v>Consolidarea controlului tuberculozei și reducerea SIDA și a mortalității aferente în Republica Moldova</v>
      </c>
      <c r="E5" s="680"/>
      <c r="F5" s="680"/>
      <c r="G5" s="680"/>
      <c r="H5" s="680"/>
      <c r="I5" s="680"/>
      <c r="J5" s="15" t="str">
        <f>+'Introducerea datelor'!F16</f>
        <v>Pînă la:</v>
      </c>
      <c r="K5" s="230">
        <f>+IF(ISBLANK('Introducerea datelor'!G16),"",'Introducerea datelor'!G16)</f>
        <v>44561</v>
      </c>
    </row>
    <row r="6" spans="2:15" ht="18.75">
      <c r="B6" s="14"/>
      <c r="C6" s="15"/>
      <c r="D6" s="84"/>
      <c r="E6" s="670" t="s">
        <v>371</v>
      </c>
      <c r="F6" s="670"/>
      <c r="G6" s="670"/>
      <c r="H6" s="670"/>
      <c r="K6" s="169"/>
    </row>
    <row r="7" spans="2:15" ht="10.5" customHeight="1">
      <c r="B7" s="14"/>
      <c r="C7" s="15"/>
      <c r="D7" s="86"/>
      <c r="E7" s="87"/>
      <c r="F7" s="87"/>
      <c r="G7" s="87"/>
      <c r="H7" s="87"/>
      <c r="I7" s="371"/>
      <c r="J7" s="371"/>
      <c r="K7" s="85"/>
      <c r="O7" t="s">
        <v>370</v>
      </c>
    </row>
    <row r="8" spans="2:15" ht="26.25" customHeight="1">
      <c r="B8" s="694" t="str">
        <f>+'Introducerea datelor'!B27&amp; " - in ("&amp;'Introducerea datelor'!D26&amp;")  "&amp;+I3&amp;" "&amp;+K3</f>
        <v>F1: Bugetul și debursările de către Fondul Global - in (€)  Perioada de Raportare: P2</v>
      </c>
      <c r="C8" s="676"/>
      <c r="D8" s="676"/>
      <c r="E8" s="676"/>
      <c r="F8" s="676"/>
      <c r="H8" s="103" t="str">
        <f>+'Introducerea datelor'!B55&amp; " - in ("&amp;'Introducerea datelor'!D26&amp;")         "&amp;+I3&amp;" "&amp;+K3</f>
        <v>F3: Debursări și cheltuieli - in (€)         Perioada de Raportare: P2</v>
      </c>
    </row>
    <row r="9" spans="2:15" ht="28.5" customHeight="1">
      <c r="B9" s="493" t="s">
        <v>372</v>
      </c>
      <c r="C9" s="697"/>
      <c r="D9" s="703"/>
      <c r="E9" s="703"/>
      <c r="F9" s="704"/>
      <c r="G9" s="503"/>
      <c r="H9" s="504" t="s">
        <v>372</v>
      </c>
      <c r="I9" s="697"/>
      <c r="J9" s="703"/>
      <c r="K9" s="704"/>
    </row>
    <row r="21" spans="2:13">
      <c r="M21" s="505"/>
    </row>
    <row r="22" spans="2:13" ht="24" customHeight="1">
      <c r="B22" s="694" t="str">
        <f>+'Introducerea datelor'!B36&amp; " - in ("&amp;'Introducerea datelor'!D26&amp;")  "&amp;+I3&amp;" "&amp;+K3</f>
        <v>F2: Bugetul și cheltuielile actuale după Obiectivele Grantului - in (€)  Perioada de Raportare: P2</v>
      </c>
      <c r="C22" s="554"/>
      <c r="D22" s="554"/>
      <c r="E22" s="554"/>
      <c r="F22" s="554"/>
      <c r="H22" s="694" t="str">
        <f>+'Introducerea datelor'!B64&amp;"      "&amp;+I3&amp;" "&amp;+K3</f>
        <v>F4: Ultima perioadă de raportare și debursare a RP       Perioada de Raportare: P2</v>
      </c>
      <c r="I22" s="676"/>
      <c r="J22" s="676"/>
      <c r="K22" s="676"/>
    </row>
    <row r="23" spans="2:13" ht="86.25" customHeight="1">
      <c r="B23" s="493" t="s">
        <v>372</v>
      </c>
      <c r="C23" s="705" t="s">
        <v>544</v>
      </c>
      <c r="D23" s="706"/>
      <c r="E23" s="706"/>
      <c r="F23" s="707"/>
      <c r="G23" s="506"/>
      <c r="H23" s="504" t="s">
        <v>372</v>
      </c>
      <c r="I23" s="697"/>
      <c r="J23" s="698"/>
      <c r="K23" s="699"/>
    </row>
    <row r="24" spans="2:13" ht="15.75" thickBot="1">
      <c r="B24" s="507"/>
      <c r="C24" s="507"/>
      <c r="D24" s="507"/>
      <c r="E24" s="507"/>
      <c r="F24" s="507"/>
      <c r="G24" s="507"/>
      <c r="H24" s="507"/>
      <c r="I24" s="507"/>
      <c r="J24" s="507"/>
      <c r="K24" s="507"/>
    </row>
    <row r="25" spans="2:13" ht="29.25" customHeight="1" thickBot="1">
      <c r="G25" s="153"/>
      <c r="H25" s="700" t="s">
        <v>409</v>
      </c>
      <c r="I25" s="701"/>
      <c r="J25" s="701"/>
      <c r="K25" s="702"/>
    </row>
    <row r="26" spans="2:13">
      <c r="H26" s="690"/>
      <c r="I26" s="691"/>
      <c r="J26" s="144" t="s">
        <v>312</v>
      </c>
      <c r="K26" s="145" t="s">
        <v>313</v>
      </c>
    </row>
    <row r="27" spans="2:13" ht="23.25" customHeight="1">
      <c r="G27" s="154"/>
      <c r="H27" s="695" t="str">
        <f>'Introducerea datelor'!B68</f>
        <v>Zile necesare pentru remiterea PU/DR final către ALF</v>
      </c>
      <c r="I27" s="696"/>
      <c r="J27" s="209">
        <f>+'Introducerea datelor'!C68</f>
        <v>60</v>
      </c>
      <c r="K27" s="229">
        <f>+'Introducerea datelor'!D68</f>
        <v>60</v>
      </c>
    </row>
    <row r="28" spans="2:13" ht="25.5" customHeight="1">
      <c r="G28" s="154"/>
      <c r="H28" s="695" t="str">
        <f>'Introducerea datelor'!B69</f>
        <v>Zile necesare pentru debursare către RP</v>
      </c>
      <c r="I28" s="696"/>
      <c r="J28" s="209">
        <f>+'Introducerea datelor'!C69</f>
        <v>5</v>
      </c>
      <c r="K28" s="229">
        <f>+'Introducerea datelor'!D69</f>
        <v>5</v>
      </c>
    </row>
    <row r="29" spans="2:13" ht="24.75" customHeight="1" thickBot="1">
      <c r="G29" s="154"/>
      <c r="H29" s="692" t="str">
        <f>'Introducerea datelor'!B70</f>
        <v>Zile necesare pentru debursare către SR</v>
      </c>
      <c r="I29" s="693"/>
      <c r="J29" s="210">
        <f>+'Introducerea datelor'!C70</f>
        <v>5</v>
      </c>
      <c r="K29" s="274">
        <f>+'Introducerea datelor'!D70</f>
        <v>5</v>
      </c>
    </row>
    <row r="31" spans="2:13">
      <c r="D31" s="113"/>
    </row>
    <row r="32" spans="2:13">
      <c r="D32" s="113"/>
    </row>
  </sheetData>
  <sheetProtection sheet="1" objects="1" scenarios="1"/>
  <mergeCells count="21">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 ref="B2:K2"/>
    <mergeCell ref="D5:I5"/>
    <mergeCell ref="I4:J4"/>
    <mergeCell ref="I3:J3"/>
    <mergeCell ref="E3:H3"/>
    <mergeCell ref="E4:H4"/>
    <mergeCell ref="C3:D3"/>
  </mergeCells>
  <phoneticPr fontId="23" type="noConversion"/>
  <conditionalFormatting sqref="K27:K29">
    <cfRule type="cellIs" dxfId="31" priority="4" stopIfTrue="1" operator="greaterThan">
      <formula>J27</formula>
    </cfRule>
    <cfRule type="cellIs" dxfId="30" priority="5" stopIfTrue="1" operator="between">
      <formula>J27</formula>
      <formula>1</formula>
    </cfRule>
    <cfRule type="cellIs" dxfId="29" priority="6" stopIfTrue="1" operator="equal">
      <formula>0</formula>
    </cfRule>
  </conditionalFormatting>
  <conditionalFormatting sqref="C4:D4">
    <cfRule type="cellIs" dxfId="28" priority="1" stopIfTrue="1" operator="equal">
      <formula>"C"</formula>
    </cfRule>
    <cfRule type="cellIs" dxfId="27" priority="2" stopIfTrue="1" operator="equal">
      <formula>"B2"</formula>
    </cfRule>
    <cfRule type="cellIs" dxfId="26"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A34" zoomScaleNormal="100" zoomScaleSheetLayoutView="100" workbookViewId="0">
      <selection activeCell="V57" sqref="V57"/>
    </sheetView>
  </sheetViews>
  <sheetFormatPr defaultColWidth="11" defaultRowHeight="15"/>
  <cols>
    <col min="1" max="1" width="5.7109375" style="508" customWidth="1"/>
    <col min="2" max="2" width="17.140625" style="208" bestFit="1" customWidth="1"/>
    <col min="3" max="3" width="14" bestFit="1" customWidth="1"/>
    <col min="4" max="4" width="14.140625" customWidth="1"/>
    <col min="5" max="5" width="14.85546875" customWidth="1"/>
    <col min="6" max="6" width="11.7109375" style="22" customWidth="1"/>
    <col min="7" max="7" width="11" style="22" bestFit="1" customWidth="1"/>
    <col min="8" max="10" width="6" customWidth="1"/>
    <col min="11" max="11" width="14.140625" customWidth="1"/>
    <col min="12" max="12" width="5.28515625" bestFit="1" customWidth="1"/>
    <col min="13" max="13" width="17.140625" customWidth="1"/>
    <col min="14" max="14" width="5" customWidth="1"/>
    <col min="15" max="15" width="6.5703125" customWidth="1"/>
    <col min="16" max="16" width="4.140625" customWidth="1"/>
    <col min="17" max="17" width="8" bestFit="1" customWidth="1"/>
    <col min="18" max="18" width="42.42578125" customWidth="1"/>
    <col min="19" max="19" width="6.5703125" customWidth="1"/>
    <col min="20" max="20" width="4.85546875" style="245" bestFit="1" customWidth="1"/>
    <col min="21" max="21" width="9.28515625" style="245" bestFit="1" customWidth="1"/>
    <col min="22" max="23" width="11" style="245"/>
    <col min="24" max="24" width="9.28515625" style="245" bestFit="1" customWidth="1"/>
    <col min="25" max="25" width="7.7109375" style="245" bestFit="1" customWidth="1"/>
    <col min="26" max="26" width="11" style="245"/>
    <col min="27" max="27" width="6.5703125" style="245" bestFit="1" customWidth="1"/>
    <col min="28" max="28" width="7.140625" style="245" bestFit="1" customWidth="1"/>
    <col min="29" max="29" width="9.28515625" style="245" bestFit="1" customWidth="1"/>
    <col min="30" max="32" width="11" style="245"/>
    <col min="33" max="33" width="9.28515625" style="245" bestFit="1" customWidth="1"/>
  </cols>
  <sheetData>
    <row r="2" spans="1:36" ht="18.75">
      <c r="C2" s="668" t="str">
        <f>+"Tabel Programatic de Evaluare:  "&amp;"  "&amp;IF(+'Introducerea datelor'!C4="Please Select","",'Introducerea datelor'!C4&amp;" - ")&amp;IF('Introducerea datelor'!G6="Please Select","",'Introducerea datelor'!G6)</f>
        <v>Tabel Programatic de Evaluare:    Moldova - HIVAIDS / TB</v>
      </c>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row>
    <row r="3" spans="1:36" ht="18.75">
      <c r="C3" s="15" t="str">
        <f>+IF('Introducerea datelor'!G8="Please Select","",'Introducerea datelor'!G8)</f>
        <v/>
      </c>
      <c r="D3" s="673" t="str">
        <f>+IF('Introducerea datelor'!I8="Please Select","",'Introducerea datelor'!I8)</f>
        <v>Period 1</v>
      </c>
      <c r="E3" s="673"/>
      <c r="F3" s="671"/>
      <c r="G3" s="671"/>
      <c r="H3" s="671"/>
      <c r="I3" s="671"/>
      <c r="J3" s="553"/>
      <c r="K3" s="553"/>
      <c r="L3" s="553"/>
      <c r="O3" s="727" t="str">
        <f>+'Introducerea datelor'!B16</f>
        <v>Perioada de Raportare:</v>
      </c>
      <c r="P3" s="676"/>
      <c r="Q3" s="676"/>
      <c r="R3" s="99" t="str">
        <f>+'Introducerea datelor'!C16</f>
        <v>P2</v>
      </c>
    </row>
    <row r="4" spans="1:36">
      <c r="C4" s="15" t="str">
        <f>+'Introducerea datelor'!B12</f>
        <v>Ultimul Rating:</v>
      </c>
      <c r="D4" s="738" t="str">
        <f>+IF('Introducerea datelor'!C12="Please Select","",'Introducerea datelor'!C12)</f>
        <v>B1</v>
      </c>
      <c r="E4" s="738"/>
      <c r="F4" s="671" t="str">
        <f>+'Introducerea datelor'!C8</f>
        <v>IP UCIMP DS</v>
      </c>
      <c r="G4" s="671"/>
      <c r="H4" s="671"/>
      <c r="I4" s="671"/>
      <c r="J4" s="671"/>
      <c r="K4" s="671"/>
      <c r="L4" s="671"/>
      <c r="M4" s="671"/>
      <c r="P4" s="14"/>
      <c r="Q4" s="15" t="str">
        <f>+'Introducerea datelor'!D16</f>
        <v>De la:</v>
      </c>
      <c r="R4" s="509">
        <f>+IF(ISBLANK('Introducerea datelor'!E16),"",'Introducerea datelor'!E16)</f>
        <v>44378</v>
      </c>
      <c r="Z4" s="3"/>
      <c r="AA4" s="3"/>
      <c r="AB4" s="3"/>
      <c r="AC4" s="3"/>
      <c r="AD4" s="3"/>
    </row>
    <row r="5" spans="1:36">
      <c r="C5" s="15"/>
      <c r="D5" s="15"/>
      <c r="E5" s="671" t="str">
        <f>+'Introducerea datelor'!G4</f>
        <v>Consolidarea controlului tuberculozei și reducerea SIDA și a mortalității aferente în Republica Moldova</v>
      </c>
      <c r="F5" s="671"/>
      <c r="G5" s="671"/>
      <c r="H5" s="671"/>
      <c r="I5" s="671"/>
      <c r="J5" s="671"/>
      <c r="K5" s="671"/>
      <c r="L5" s="671"/>
      <c r="M5" s="671"/>
      <c r="N5" s="671"/>
      <c r="O5" s="671"/>
      <c r="Q5" s="15" t="str">
        <f>+'Introducerea datelor'!F16</f>
        <v>Pînă la:</v>
      </c>
      <c r="R5" s="509">
        <f>+IF(ISBLANK('Introducerea datelor'!G16),"",'Introducerea datelor'!G16)</f>
        <v>44561</v>
      </c>
      <c r="T5" s="3"/>
      <c r="U5" s="3"/>
      <c r="V5" s="3"/>
      <c r="W5" s="3"/>
      <c r="X5" s="3"/>
      <c r="Y5" s="3"/>
      <c r="Z5" s="3"/>
      <c r="AA5" s="3"/>
      <c r="AB5" s="3" t="s">
        <v>23</v>
      </c>
      <c r="AC5" s="3"/>
      <c r="AD5" s="3" t="s">
        <v>212</v>
      </c>
      <c r="AE5" s="3"/>
      <c r="AF5" s="3"/>
      <c r="AG5" s="3"/>
      <c r="AH5" s="510"/>
      <c r="AI5" s="510"/>
      <c r="AJ5" s="510"/>
    </row>
    <row r="6" spans="1:36" ht="18.75">
      <c r="C6" s="15"/>
      <c r="D6" s="15"/>
      <c r="E6" s="372"/>
      <c r="F6" s="372"/>
      <c r="G6" s="737" t="s">
        <v>384</v>
      </c>
      <c r="H6" s="737"/>
      <c r="I6" s="737"/>
      <c r="J6" s="737"/>
      <c r="K6" s="737"/>
      <c r="L6" s="737"/>
      <c r="M6" s="372"/>
      <c r="P6" s="101"/>
      <c r="Q6" s="122"/>
      <c r="T6" s="3"/>
      <c r="U6" s="3"/>
      <c r="V6" s="3"/>
      <c r="W6" s="3"/>
      <c r="X6" s="3"/>
      <c r="Y6" s="3"/>
      <c r="Z6" s="3"/>
      <c r="AA6" s="3"/>
      <c r="AB6" s="3"/>
      <c r="AC6" s="3"/>
      <c r="AD6" s="3"/>
      <c r="AE6" s="3"/>
      <c r="AF6" s="3"/>
      <c r="AG6" s="3"/>
      <c r="AH6" s="510"/>
      <c r="AI6" s="510"/>
      <c r="AJ6" s="510"/>
    </row>
    <row r="7" spans="1:36">
      <c r="C7" s="15"/>
      <c r="D7" s="15"/>
      <c r="E7" s="372"/>
      <c r="F7" s="372"/>
      <c r="G7" s="372"/>
      <c r="H7" s="372"/>
      <c r="I7" s="372"/>
      <c r="J7" s="372"/>
      <c r="K7" s="372"/>
      <c r="L7" s="372"/>
      <c r="M7" s="372"/>
      <c r="P7" s="101"/>
      <c r="Q7" s="100"/>
      <c r="R7" s="100"/>
      <c r="T7" s="3"/>
      <c r="U7" s="3"/>
      <c r="V7" s="3"/>
      <c r="W7" s="3"/>
      <c r="X7" s="3"/>
      <c r="Y7" s="3"/>
      <c r="Z7" s="3"/>
      <c r="AA7" s="3"/>
      <c r="AB7" s="3"/>
      <c r="AC7" s="3"/>
      <c r="AD7" s="3"/>
      <c r="AE7" s="3"/>
      <c r="AF7" s="3"/>
      <c r="AG7" s="3"/>
      <c r="AH7" s="510"/>
      <c r="AI7" s="510"/>
      <c r="AJ7" s="510"/>
    </row>
    <row r="8" spans="1:36" s="512" customFormat="1" ht="42" customHeight="1">
      <c r="A8" s="511"/>
      <c r="B8" s="361"/>
      <c r="D8" s="729" t="str">
        <f>+'Introducerea datelor'!B123</f>
        <v>TB I-3(M): Rata mortalităţii prin TB la 100,000 populație</v>
      </c>
      <c r="E8" s="729"/>
      <c r="F8" s="729"/>
      <c r="G8" s="513"/>
      <c r="H8" s="729" t="str">
        <f>+'Introducerea datelor'!B125</f>
        <v xml:space="preserve">TB I-4(M): Prevalența RR-TB și/sau MDR-TB printre cazurile noi de tuberculoză </v>
      </c>
      <c r="I8" s="729"/>
      <c r="J8" s="729"/>
      <c r="K8" s="729"/>
      <c r="L8" s="729"/>
      <c r="M8" s="514"/>
      <c r="N8" s="728" t="str">
        <f>+'Introducerea datelor'!B127</f>
        <v>HIV I-4: Mortalitatea asociată cu SIDA la 100,000 populaţie</v>
      </c>
      <c r="O8" s="728"/>
      <c r="P8" s="728"/>
      <c r="Q8" s="728"/>
      <c r="R8" s="728"/>
      <c r="T8" s="515"/>
      <c r="U8" s="515"/>
      <c r="V8" s="515"/>
      <c r="W8" s="515"/>
      <c r="X8" s="515"/>
      <c r="Y8" s="515"/>
      <c r="Z8" s="515"/>
      <c r="AA8" s="515"/>
      <c r="AB8" s="515"/>
      <c r="AC8" s="515"/>
      <c r="AD8" s="515"/>
      <c r="AE8" s="515"/>
      <c r="AF8" s="515"/>
      <c r="AG8" s="515"/>
    </row>
    <row r="9" spans="1:36" ht="144.75" customHeight="1">
      <c r="C9" s="516" t="s">
        <v>379</v>
      </c>
      <c r="D9" s="724" t="s">
        <v>521</v>
      </c>
      <c r="E9" s="730"/>
      <c r="F9" s="731"/>
      <c r="G9" s="517" t="s">
        <v>380</v>
      </c>
      <c r="H9" s="724" t="s">
        <v>522</v>
      </c>
      <c r="I9" s="730"/>
      <c r="J9" s="730"/>
      <c r="K9" s="730"/>
      <c r="L9" s="731"/>
      <c r="M9" s="517" t="s">
        <v>381</v>
      </c>
      <c r="N9" s="724" t="s">
        <v>540</v>
      </c>
      <c r="O9" s="725"/>
      <c r="P9" s="725"/>
      <c r="Q9" s="725"/>
      <c r="R9" s="726"/>
    </row>
    <row r="10" spans="1:36">
      <c r="C10" s="15"/>
      <c r="D10" s="15"/>
      <c r="E10" s="372"/>
      <c r="F10" s="372"/>
      <c r="G10" s="372"/>
      <c r="H10" s="372"/>
      <c r="I10" s="372"/>
      <c r="J10" s="372"/>
      <c r="K10" s="372"/>
      <c r="L10" s="372"/>
      <c r="M10" s="372"/>
      <c r="P10" s="101"/>
      <c r="Q10" s="100"/>
    </row>
    <row r="11" spans="1:36">
      <c r="C11" s="15"/>
      <c r="D11" s="15"/>
      <c r="E11" s="372"/>
      <c r="F11" s="372"/>
      <c r="G11" s="372"/>
      <c r="H11" s="372"/>
      <c r="I11" s="372"/>
      <c r="J11" s="372"/>
      <c r="K11" s="372"/>
      <c r="L11" s="372"/>
      <c r="M11" s="372"/>
      <c r="P11" s="101"/>
      <c r="Q11" s="100"/>
    </row>
    <row r="12" spans="1:36">
      <c r="C12" s="15"/>
      <c r="D12" s="15"/>
      <c r="E12" s="372"/>
      <c r="F12" s="372"/>
      <c r="G12" s="372"/>
      <c r="H12" s="372"/>
      <c r="I12" s="372"/>
      <c r="J12" s="372"/>
      <c r="K12" s="372"/>
      <c r="L12" s="372"/>
      <c r="M12" s="372"/>
      <c r="P12" s="101"/>
      <c r="Q12" s="100"/>
    </row>
    <row r="13" spans="1:36">
      <c r="C13" s="15"/>
      <c r="D13" s="15"/>
      <c r="E13" s="372"/>
      <c r="F13" s="372"/>
      <c r="G13" s="372"/>
      <c r="H13" s="372"/>
      <c r="I13" s="372"/>
      <c r="J13" s="372"/>
      <c r="K13" s="372"/>
      <c r="L13" s="372"/>
      <c r="M13" s="372"/>
      <c r="P13" s="101"/>
      <c r="Q13" s="100"/>
    </row>
    <row r="14" spans="1:36">
      <c r="C14" s="15"/>
      <c r="D14" s="15"/>
      <c r="E14" s="372"/>
      <c r="F14" s="372"/>
      <c r="G14" s="372"/>
      <c r="H14" s="372"/>
      <c r="I14" s="372"/>
      <c r="J14" s="372"/>
      <c r="K14" s="372"/>
      <c r="L14" s="372"/>
      <c r="M14" s="372"/>
      <c r="P14" s="101"/>
      <c r="Q14" s="100"/>
    </row>
    <row r="15" spans="1:36">
      <c r="C15" s="15"/>
      <c r="D15" s="15"/>
      <c r="E15" s="372"/>
      <c r="F15" s="372"/>
      <c r="G15" s="372"/>
      <c r="H15" s="372"/>
      <c r="I15" s="372"/>
      <c r="J15" s="372"/>
      <c r="K15" s="372"/>
      <c r="L15" s="372"/>
      <c r="M15" s="372"/>
      <c r="P15" s="101"/>
      <c r="Q15" s="100"/>
    </row>
    <row r="16" spans="1:36">
      <c r="C16" s="15"/>
      <c r="D16" s="15"/>
      <c r="E16" s="372"/>
      <c r="F16" s="372"/>
      <c r="G16" s="372"/>
      <c r="H16" s="372"/>
      <c r="I16" s="372"/>
      <c r="J16" s="372"/>
      <c r="K16" s="372"/>
      <c r="L16" s="372"/>
      <c r="M16" s="372"/>
      <c r="P16" s="101"/>
      <c r="Q16" s="100"/>
    </row>
    <row r="17" spans="1:36">
      <c r="C17" s="15"/>
      <c r="D17" s="15"/>
      <c r="E17" s="372"/>
      <c r="F17" s="372"/>
      <c r="G17" s="372"/>
      <c r="H17" s="372"/>
      <c r="I17" s="372"/>
      <c r="J17" s="372"/>
      <c r="K17" s="372"/>
      <c r="L17" s="372"/>
      <c r="M17" s="372"/>
      <c r="P17" s="101"/>
      <c r="Q17" s="100"/>
      <c r="T17" s="3"/>
      <c r="U17" s="3"/>
      <c r="V17" s="3"/>
      <c r="W17" s="3"/>
      <c r="X17" s="3"/>
      <c r="Y17" s="3"/>
      <c r="Z17" s="3"/>
      <c r="AA17" s="3"/>
      <c r="AB17" s="3"/>
      <c r="AC17" s="3"/>
      <c r="AD17" s="3"/>
      <c r="AE17" s="3"/>
      <c r="AF17" s="3"/>
      <c r="AG17" s="3"/>
      <c r="AH17" s="510"/>
      <c r="AI17" s="510"/>
      <c r="AJ17" s="510"/>
    </row>
    <row r="18" spans="1:36">
      <c r="A18"/>
      <c r="B18"/>
      <c r="F18"/>
      <c r="G18"/>
    </row>
    <row r="19" spans="1:36" s="512" customFormat="1" ht="50.25" customHeight="1">
      <c r="D19" s="729" t="str">
        <f>+'Introducerea datelor'!B129</f>
        <v xml:space="preserve">HIV I-9a⁽ᴹ⁾: Procentul BSB care trăiesc cu HIV </v>
      </c>
      <c r="E19" s="729"/>
      <c r="F19" s="729"/>
      <c r="G19" s="513"/>
      <c r="H19" s="729" t="str">
        <f>+'Introducerea datelor'!B131</f>
        <v>HIV I-10⁽ᴹ⁾: Procentul LS care trăiesc cu HIV</v>
      </c>
      <c r="I19" s="729"/>
      <c r="J19" s="729"/>
      <c r="K19" s="729"/>
      <c r="L19" s="729"/>
      <c r="M19" s="514"/>
      <c r="N19" s="728" t="str">
        <f>+'Introducerea datelor'!B133</f>
        <v>HIV I-11⁽ᴹ⁾: Procentul consumatorilor de droguri injectabile care trăiesc cu HIV</v>
      </c>
      <c r="O19" s="728"/>
      <c r="P19" s="728"/>
      <c r="Q19" s="728"/>
      <c r="R19" s="728"/>
      <c r="T19" s="515"/>
      <c r="U19" s="515"/>
      <c r="V19" s="515"/>
      <c r="W19" s="515"/>
      <c r="X19" s="515"/>
      <c r="Y19" s="515"/>
      <c r="Z19" s="515"/>
      <c r="AA19" s="515"/>
      <c r="AB19" s="515"/>
      <c r="AC19" s="515"/>
      <c r="AD19" s="515"/>
      <c r="AE19" s="515"/>
      <c r="AF19" s="515"/>
      <c r="AG19" s="515"/>
    </row>
    <row r="20" spans="1:36" ht="117.75" customHeight="1">
      <c r="A20"/>
      <c r="B20"/>
      <c r="C20" s="516" t="s">
        <v>379</v>
      </c>
      <c r="D20" s="724" t="s">
        <v>505</v>
      </c>
      <c r="E20" s="730"/>
      <c r="F20" s="731"/>
      <c r="G20" s="517" t="s">
        <v>380</v>
      </c>
      <c r="H20" s="724" t="s">
        <v>505</v>
      </c>
      <c r="I20" s="730"/>
      <c r="J20" s="730"/>
      <c r="K20" s="730"/>
      <c r="L20" s="731"/>
      <c r="M20" s="517" t="s">
        <v>381</v>
      </c>
      <c r="N20" s="724" t="s">
        <v>505</v>
      </c>
      <c r="O20" s="725"/>
      <c r="P20" s="725"/>
      <c r="Q20" s="725"/>
      <c r="R20" s="726"/>
    </row>
    <row r="21" spans="1:36">
      <c r="A21"/>
      <c r="B21"/>
      <c r="C21" s="15"/>
      <c r="D21" s="15"/>
      <c r="E21" s="372"/>
      <c r="F21" s="372"/>
      <c r="G21" s="372"/>
      <c r="H21" s="372"/>
      <c r="I21" s="372"/>
      <c r="J21" s="372"/>
      <c r="K21" s="372"/>
      <c r="L21" s="372"/>
      <c r="M21" s="372"/>
      <c r="P21" s="101"/>
      <c r="Q21" s="100"/>
    </row>
    <row r="22" spans="1:36">
      <c r="A22"/>
      <c r="B22"/>
      <c r="C22" s="15"/>
      <c r="D22" s="15"/>
      <c r="E22" s="372"/>
      <c r="F22" s="372"/>
      <c r="G22" s="372"/>
      <c r="H22" s="372"/>
      <c r="I22" s="372"/>
      <c r="J22" s="372"/>
      <c r="K22" s="372"/>
      <c r="L22" s="372"/>
      <c r="M22" s="372"/>
      <c r="P22" s="101"/>
      <c r="Q22" s="100"/>
    </row>
    <row r="23" spans="1:36">
      <c r="A23"/>
      <c r="B23"/>
      <c r="C23" s="15"/>
      <c r="D23" s="15"/>
      <c r="E23" s="372"/>
      <c r="F23" s="372"/>
      <c r="G23" s="372"/>
      <c r="H23" s="372"/>
      <c r="I23" s="372"/>
      <c r="J23" s="372"/>
      <c r="K23" s="372"/>
      <c r="L23" s="372"/>
      <c r="M23" s="372"/>
      <c r="P23" s="101"/>
      <c r="Q23" s="100"/>
    </row>
    <row r="24" spans="1:36">
      <c r="A24"/>
      <c r="B24"/>
      <c r="C24" s="15"/>
      <c r="D24" s="15"/>
      <c r="E24" s="372"/>
      <c r="F24" s="372"/>
      <c r="G24" s="372"/>
      <c r="H24" s="372"/>
      <c r="I24" s="372"/>
      <c r="J24" s="372"/>
      <c r="K24" s="372"/>
      <c r="L24" s="372"/>
      <c r="M24" s="372"/>
      <c r="P24" s="101"/>
      <c r="Q24" s="100"/>
    </row>
    <row r="25" spans="1:36">
      <c r="A25"/>
      <c r="B25"/>
      <c r="C25" s="15"/>
      <c r="D25" s="15"/>
      <c r="E25" s="372"/>
      <c r="F25" s="372"/>
      <c r="G25" s="372"/>
      <c r="H25" s="372"/>
      <c r="I25" s="372"/>
      <c r="J25" s="372"/>
      <c r="K25" s="372"/>
      <c r="L25" s="372"/>
      <c r="M25" s="372"/>
      <c r="P25" s="101"/>
      <c r="Q25" s="100"/>
    </row>
    <row r="26" spans="1:36">
      <c r="A26"/>
      <c r="B26"/>
      <c r="C26" s="15"/>
      <c r="D26" s="15"/>
      <c r="E26" s="372"/>
      <c r="F26" s="372"/>
      <c r="G26" s="372"/>
      <c r="H26" s="372"/>
      <c r="I26" s="372"/>
      <c r="J26" s="372"/>
      <c r="K26" s="372"/>
      <c r="L26" s="372"/>
      <c r="M26" s="372"/>
      <c r="P26" s="101"/>
      <c r="Q26" s="100"/>
    </row>
    <row r="27" spans="1:36">
      <c r="A27"/>
      <c r="B27"/>
      <c r="C27" s="15"/>
      <c r="D27" s="15"/>
      <c r="E27" s="372"/>
      <c r="F27" s="372"/>
      <c r="G27" s="372"/>
      <c r="H27" s="372"/>
      <c r="I27" s="372"/>
      <c r="J27" s="372"/>
      <c r="K27" s="372"/>
      <c r="L27" s="372"/>
      <c r="M27" s="372"/>
      <c r="P27" s="101"/>
      <c r="Q27" s="100"/>
    </row>
    <row r="28" spans="1:36">
      <c r="A28"/>
      <c r="B28"/>
      <c r="C28" s="15"/>
      <c r="D28" s="15"/>
      <c r="E28" s="372"/>
      <c r="F28" s="372"/>
      <c r="G28" s="372"/>
      <c r="H28" s="372"/>
      <c r="I28" s="372"/>
      <c r="J28" s="372"/>
      <c r="K28" s="372"/>
      <c r="L28" s="372"/>
      <c r="M28" s="372"/>
      <c r="P28" s="101"/>
      <c r="Q28" s="100"/>
    </row>
    <row r="29" spans="1:36">
      <c r="F29"/>
      <c r="G29"/>
      <c r="T29" s="3"/>
      <c r="U29" s="3"/>
      <c r="V29" s="3"/>
      <c r="W29" s="3"/>
      <c r="X29" s="3"/>
      <c r="Y29" s="3"/>
      <c r="Z29" s="3"/>
      <c r="AA29" s="3"/>
      <c r="AB29" s="3"/>
      <c r="AC29" s="3"/>
      <c r="AD29" s="3"/>
      <c r="AE29" s="3"/>
      <c r="AF29" s="3"/>
      <c r="AG29" s="3"/>
      <c r="AH29" s="510"/>
      <c r="AI29" s="510"/>
      <c r="AJ29" s="510"/>
    </row>
    <row r="30" spans="1:36">
      <c r="C30" s="15"/>
      <c r="D30" s="15"/>
      <c r="E30" s="372"/>
      <c r="F30" s="372"/>
      <c r="G30" s="372"/>
      <c r="H30" s="372"/>
      <c r="I30" s="372"/>
      <c r="J30" s="372"/>
      <c r="K30" s="372"/>
      <c r="L30" s="372"/>
      <c r="M30" s="372"/>
      <c r="P30" s="101"/>
      <c r="Q30" s="100"/>
      <c r="T30" s="3"/>
      <c r="U30" s="3"/>
      <c r="V30" s="3"/>
      <c r="W30" s="3"/>
      <c r="X30" s="3"/>
      <c r="Y30" s="3"/>
      <c r="Z30" s="3"/>
      <c r="AA30" s="3"/>
      <c r="AB30" s="3"/>
      <c r="AC30" s="3"/>
      <c r="AD30" s="3"/>
      <c r="AE30" s="3"/>
      <c r="AF30" s="3"/>
      <c r="AG30" s="3"/>
      <c r="AH30" s="510"/>
      <c r="AI30" s="510"/>
      <c r="AJ30" s="510"/>
    </row>
    <row r="31" spans="1:36">
      <c r="C31" s="15"/>
      <c r="D31" s="15"/>
      <c r="E31" s="372"/>
      <c r="F31" s="372"/>
      <c r="G31" s="372"/>
      <c r="H31" s="372"/>
      <c r="I31" s="372"/>
      <c r="J31" s="372"/>
      <c r="K31" s="372"/>
      <c r="L31" s="372"/>
      <c r="M31" s="372"/>
      <c r="P31" s="101"/>
      <c r="Q31" s="100"/>
      <c r="T31" s="3"/>
      <c r="U31" s="3"/>
      <c r="V31" s="3"/>
      <c r="W31" s="3"/>
      <c r="X31" s="3"/>
      <c r="Y31" s="3"/>
      <c r="Z31" s="3"/>
      <c r="AA31" s="3"/>
      <c r="AB31" s="3"/>
      <c r="AC31" s="3"/>
      <c r="AD31" s="3"/>
      <c r="AE31" s="3"/>
      <c r="AF31" s="3"/>
      <c r="AG31" s="3"/>
      <c r="AH31" s="510"/>
      <c r="AI31" s="510"/>
      <c r="AJ31" s="510"/>
    </row>
    <row r="32" spans="1:36">
      <c r="C32" s="15"/>
      <c r="D32" s="15"/>
      <c r="E32" s="372"/>
      <c r="F32" s="372"/>
      <c r="G32" s="372"/>
      <c r="H32" s="372"/>
      <c r="I32" s="372"/>
      <c r="J32" s="372"/>
      <c r="K32" s="372"/>
      <c r="L32" s="372"/>
      <c r="M32" s="372"/>
      <c r="P32" s="101"/>
      <c r="Q32" s="100"/>
      <c r="T32" s="3"/>
      <c r="U32" s="3"/>
      <c r="V32" s="3"/>
      <c r="W32" s="3"/>
      <c r="X32" s="3"/>
      <c r="Y32" s="3"/>
      <c r="Z32" s="3"/>
      <c r="AA32" s="3"/>
      <c r="AB32" s="3"/>
      <c r="AC32" s="3"/>
      <c r="AD32" s="3"/>
      <c r="AE32" s="3"/>
      <c r="AF32" s="3"/>
      <c r="AG32" s="3"/>
      <c r="AH32" s="510"/>
      <c r="AI32" s="510"/>
      <c r="AJ32" s="510"/>
    </row>
    <row r="33" spans="1:38" ht="18.75">
      <c r="C33" s="14"/>
      <c r="D33" s="15"/>
      <c r="E33" s="84"/>
      <c r="F33" s="732"/>
      <c r="G33" s="732"/>
      <c r="H33" s="732"/>
      <c r="I33" s="732"/>
      <c r="J33" s="732"/>
      <c r="K33" s="732"/>
      <c r="L33" s="732"/>
      <c r="T33" s="3"/>
      <c r="U33" s="3"/>
      <c r="V33" s="3"/>
      <c r="W33" s="3"/>
      <c r="X33" s="3"/>
      <c r="Y33" s="3"/>
      <c r="Z33" s="3"/>
      <c r="AA33" s="3"/>
      <c r="AB33" s="3"/>
      <c r="AC33" s="3"/>
      <c r="AD33" s="3"/>
      <c r="AE33" s="3"/>
      <c r="AF33" s="3"/>
      <c r="AG33" s="3"/>
      <c r="AH33" s="510"/>
      <c r="AI33" s="510"/>
      <c r="AJ33" s="510"/>
    </row>
    <row r="34" spans="1:38" ht="43.5" customHeight="1">
      <c r="C34" s="733" t="s">
        <v>382</v>
      </c>
      <c r="D34" s="733"/>
      <c r="E34" s="733"/>
      <c r="F34" s="373" t="s">
        <v>359</v>
      </c>
      <c r="G34" s="373" t="s">
        <v>360</v>
      </c>
      <c r="H34" s="720" t="s">
        <v>246</v>
      </c>
      <c r="I34" s="721"/>
      <c r="J34" s="722" t="s">
        <v>247</v>
      </c>
      <c r="K34" s="723"/>
      <c r="L34" s="158" t="s">
        <v>248</v>
      </c>
      <c r="M34" s="717" t="s">
        <v>383</v>
      </c>
      <c r="N34" s="718"/>
      <c r="O34" s="718"/>
      <c r="P34" s="718"/>
      <c r="Q34" s="718"/>
      <c r="R34" s="719"/>
      <c r="T34" s="518" t="s">
        <v>53</v>
      </c>
      <c r="U34" s="519">
        <v>0</v>
      </c>
      <c r="V34" s="520">
        <v>0.3</v>
      </c>
      <c r="W34" s="520">
        <v>0.6</v>
      </c>
      <c r="X34" s="520">
        <v>0.9</v>
      </c>
      <c r="Y34" s="520">
        <v>1</v>
      </c>
      <c r="Z34" s="521"/>
      <c r="AA34" s="521"/>
      <c r="AB34" s="518" t="s">
        <v>53</v>
      </c>
      <c r="AC34" s="519">
        <v>0</v>
      </c>
      <c r="AD34" s="520">
        <v>0.2</v>
      </c>
      <c r="AE34" s="520">
        <v>0.4</v>
      </c>
      <c r="AF34" s="520">
        <v>0.6</v>
      </c>
      <c r="AG34" s="520">
        <v>0.8</v>
      </c>
      <c r="AH34" s="521"/>
      <c r="AI34" s="521"/>
      <c r="AJ34" s="521"/>
      <c r="AK34" s="522"/>
      <c r="AL34" s="522"/>
    </row>
    <row r="35" spans="1:38" ht="74.25" customHeight="1">
      <c r="A35" s="523">
        <v>1</v>
      </c>
      <c r="B35" s="273" t="str">
        <f>VLOOKUP(A35,Table1[],2,0)</f>
        <v>Indicator de impact</v>
      </c>
      <c r="C35" s="708" t="str">
        <f>VLOOKUP(A35,Table1[],4,0)</f>
        <v>TB I-3(M): Rata mortalităţii prin TB la 100,000 populație</v>
      </c>
      <c r="D35" s="708"/>
      <c r="E35" s="708"/>
      <c r="F35" s="232">
        <f>HLOOKUP($R$3,Indicatori,A35*2,0)</f>
        <v>5.8</v>
      </c>
      <c r="G35" s="232">
        <f t="shared" ref="G35:G58" si="0">HLOOKUP($R$3,Indicatori,A35*2+1,0)</f>
        <v>4.78</v>
      </c>
      <c r="H35" s="709">
        <f>+IF(ISERROR(G35/F35),0,F35/G35)</f>
        <v>1.2133891213389121</v>
      </c>
      <c r="I35" s="710"/>
      <c r="J35" s="710"/>
      <c r="K35" s="710"/>
      <c r="L35" s="711"/>
      <c r="M35" s="714" t="s">
        <v>524</v>
      </c>
      <c r="N35" s="715"/>
      <c r="O35" s="715"/>
      <c r="P35" s="715"/>
      <c r="Q35" s="715"/>
      <c r="R35" s="716"/>
      <c r="S35" s="245"/>
      <c r="T35" s="518" t="s">
        <v>54</v>
      </c>
      <c r="U35" s="520">
        <v>0.3</v>
      </c>
      <c r="V35" s="520">
        <v>0.6</v>
      </c>
      <c r="W35" s="520">
        <v>0.9</v>
      </c>
      <c r="X35" s="520">
        <v>1</v>
      </c>
      <c r="Y35" s="520">
        <v>2</v>
      </c>
      <c r="Z35" s="521"/>
      <c r="AA35" s="521"/>
      <c r="AB35" s="518" t="s">
        <v>54</v>
      </c>
      <c r="AC35" s="520">
        <v>0.2</v>
      </c>
      <c r="AD35" s="520">
        <v>0.4</v>
      </c>
      <c r="AE35" s="520">
        <v>0.6</v>
      </c>
      <c r="AF35" s="520">
        <v>0.8</v>
      </c>
      <c r="AG35" s="520">
        <v>1</v>
      </c>
      <c r="AH35" s="521"/>
      <c r="AI35" s="521"/>
      <c r="AJ35" s="521"/>
      <c r="AK35" s="522"/>
      <c r="AL35" s="522"/>
    </row>
    <row r="36" spans="1:38" ht="85.5" customHeight="1">
      <c r="A36" s="523">
        <v>2</v>
      </c>
      <c r="B36" s="273" t="str">
        <f>VLOOKUP(A36,Table1[],2,0)</f>
        <v>Indicator de impact</v>
      </c>
      <c r="C36" s="708" t="str">
        <f>VLOOKUP(A36,Table1[],4,0)</f>
        <v xml:space="preserve">TB I-4(M): Prevalența RR-TB și/sau MDR-TB printre cazurile noi de tuberculoză </v>
      </c>
      <c r="D36" s="708"/>
      <c r="E36" s="708"/>
      <c r="F36" s="549">
        <f t="shared" ref="F36:F58" si="1">HLOOKUP($R$3,Indicatori,A36*2,0)</f>
        <v>24.29</v>
      </c>
      <c r="G36" s="549">
        <f t="shared" si="0"/>
        <v>22.1</v>
      </c>
      <c r="H36" s="709">
        <f>+IF(ISERROR(F36/G36),0,F36/G36)</f>
        <v>1.0990950226244343</v>
      </c>
      <c r="I36" s="710"/>
      <c r="J36" s="710"/>
      <c r="K36" s="710"/>
      <c r="L36" s="711"/>
      <c r="M36" s="714" t="s">
        <v>525</v>
      </c>
      <c r="N36" s="715"/>
      <c r="O36" s="715"/>
      <c r="P36" s="715"/>
      <c r="Q36" s="715"/>
      <c r="R36" s="716"/>
      <c r="S36" s="245"/>
      <c r="T36" s="524"/>
      <c r="U36" s="525" t="str">
        <f>"de "&amp;U34&amp;" a "&amp;U35</f>
        <v>de 0 a 0.3</v>
      </c>
      <c r="V36" s="525" t="str">
        <f>"de "&amp;V34&amp;" a "&amp;V35</f>
        <v>de 0.3 a 0.6</v>
      </c>
      <c r="W36" s="525" t="str">
        <f>"de "&amp;W34&amp;" a "&amp;W35</f>
        <v>de 0.6 a 0.9</v>
      </c>
      <c r="X36" s="525" t="str">
        <f>"de "&amp;X34&amp;" a "&amp;X35</f>
        <v>de 0.9 a 1</v>
      </c>
      <c r="Y36" s="525" t="str">
        <f>"de "&amp;Y34&amp;" a "&amp;Y35</f>
        <v>de 1 a 2</v>
      </c>
      <c r="Z36" s="521"/>
      <c r="AA36" s="521" t="s">
        <v>213</v>
      </c>
      <c r="AB36" s="524" t="s">
        <v>212</v>
      </c>
      <c r="AC36" s="525" t="str">
        <f>"de "&amp;AC34&amp;" a "&amp;AC35</f>
        <v>de 0 a 0.2</v>
      </c>
      <c r="AD36" s="525" t="str">
        <f>"de "&amp;AD34&amp;" a "&amp;AD35</f>
        <v>de 0.2 a 0.4</v>
      </c>
      <c r="AE36" s="525" t="str">
        <f>"de "&amp;AE34&amp;" a "&amp;AE35</f>
        <v>de 0.4 a 0.6</v>
      </c>
      <c r="AF36" s="525" t="str">
        <f>"de "&amp;AF34&amp;" a "&amp;AF35</f>
        <v>de 0.6 a 0.8</v>
      </c>
      <c r="AG36" s="525" t="str">
        <f>"de "&amp;AG34&amp;" a "&amp;AG35</f>
        <v>de 0.8 a 1</v>
      </c>
      <c r="AH36" s="521"/>
      <c r="AI36" s="521"/>
      <c r="AJ36" s="521"/>
      <c r="AK36" s="522"/>
      <c r="AL36" s="522"/>
    </row>
    <row r="37" spans="1:38" ht="57.75" customHeight="1">
      <c r="A37" s="523">
        <v>3</v>
      </c>
      <c r="B37" s="273" t="str">
        <f>VLOOKUP(A37,Table1[],2,0)</f>
        <v>Indicator de impact</v>
      </c>
      <c r="C37" s="708" t="str">
        <f>VLOOKUP(A37,Table1[],4,0)</f>
        <v>HIV I-4: Mortalitatea asociată cu SIDA la 100,000 populaţie</v>
      </c>
      <c r="D37" s="708"/>
      <c r="E37" s="708"/>
      <c r="F37" s="232">
        <f t="shared" si="1"/>
        <v>9.69</v>
      </c>
      <c r="G37" s="365" t="str">
        <f t="shared" si="0"/>
        <v>n/a</v>
      </c>
      <c r="H37" s="709">
        <f>+IF(ISERROR(G37/F37),0,F37/G37)</f>
        <v>0</v>
      </c>
      <c r="I37" s="710"/>
      <c r="J37" s="710"/>
      <c r="K37" s="710"/>
      <c r="L37" s="711"/>
      <c r="M37" s="714" t="s">
        <v>540</v>
      </c>
      <c r="N37" s="715"/>
      <c r="O37" s="715"/>
      <c r="P37" s="715"/>
      <c r="Q37" s="715"/>
      <c r="R37" s="716"/>
      <c r="S37" s="245"/>
      <c r="T37" s="524"/>
      <c r="U37" s="520" t="e">
        <f>IF($L35&gt;U$34,IF($L35&lt;=U$35,$L35,NA()),NA())</f>
        <v>#N/A</v>
      </c>
      <c r="V37" s="520" t="e">
        <f>IF($L35&gt;V$34,IF($L35&lt;=V$35,$L35,NA()),NA())</f>
        <v>#N/A</v>
      </c>
      <c r="W37" s="520" t="e">
        <f>IF($L35&gt;W$34,IF($L35&lt;=W$35,$L35,NA()),NA())</f>
        <v>#N/A</v>
      </c>
      <c r="X37" s="520" t="e">
        <f>IF($L35&gt;X$34,IF($L35&lt;=X$35,$L35,NA()),NA())</f>
        <v>#N/A</v>
      </c>
      <c r="Y37" s="520" t="e">
        <f>IF($L35&gt;Y$34,IF($L35&lt;=Y$35,1,NA()),NA())</f>
        <v>#N/A</v>
      </c>
      <c r="Z37" s="521"/>
      <c r="AA37" s="526" t="e">
        <f>+'Detail despre Grant'!#REF!</f>
        <v>#REF!</v>
      </c>
      <c r="AB37" s="520" t="e">
        <f>+IF(AA37="A1",1,IF(AA37="A2",0.8,IF(AA37="B1",0.6,IF(AA37="B2",0.4,0.2))))</f>
        <v>#REF!</v>
      </c>
      <c r="AC37" s="520" t="e">
        <f>IF($AB37&gt;AC$34,IF($AB37&lt;=AC$35,$AB37,NA()),NA())</f>
        <v>#REF!</v>
      </c>
      <c r="AD37" s="520" t="e">
        <f>IF($AB37&gt;AD$34,IF($AB37&lt;=AD$35,$AB37,NA()),NA())</f>
        <v>#REF!</v>
      </c>
      <c r="AE37" s="520" t="e">
        <f>IF($AB37&gt;AE$34,IF($AB37&lt;=AE$35,$AB37,NA()),NA())</f>
        <v>#REF!</v>
      </c>
      <c r="AF37" s="520" t="e">
        <f>IF($AB37&gt;AF$34,IF($AB37&lt;=AF$35,$AB37,NA()),NA())</f>
        <v>#REF!</v>
      </c>
      <c r="AG37" s="520" t="e">
        <f>IF($AB37&gt;AG$34,IF($AB37&lt;=AG$35,$AB37,NA()),NA())</f>
        <v>#REF!</v>
      </c>
      <c r="AH37" s="521"/>
      <c r="AI37" s="521"/>
      <c r="AJ37" s="521"/>
      <c r="AK37" s="522"/>
      <c r="AL37" s="522"/>
    </row>
    <row r="38" spans="1:38" ht="43.5" customHeight="1">
      <c r="A38" s="523">
        <v>4</v>
      </c>
      <c r="B38" s="273" t="str">
        <f>VLOOKUP(A38,Table1[],2,0)</f>
        <v>Indicator de impact</v>
      </c>
      <c r="C38" s="708" t="str">
        <f>VLOOKUP(A38,Table1[],4,0)</f>
        <v xml:space="preserve">HIV I-9a⁽ᴹ⁾: Procentul BSB care trăiesc cu HIV </v>
      </c>
      <c r="D38" s="708"/>
      <c r="E38" s="708"/>
      <c r="F38" s="365" t="str">
        <f t="shared" si="1"/>
        <v>n/a</v>
      </c>
      <c r="G38" s="365" t="str">
        <f t="shared" si="0"/>
        <v>n/a</v>
      </c>
      <c r="H38" s="709">
        <f>+IF(ISERROR(F38/G38),0,G38/F38)</f>
        <v>0</v>
      </c>
      <c r="I38" s="710"/>
      <c r="J38" s="710"/>
      <c r="K38" s="710"/>
      <c r="L38" s="711"/>
      <c r="M38" s="734" t="s">
        <v>505</v>
      </c>
      <c r="N38" s="735"/>
      <c r="O38" s="735"/>
      <c r="P38" s="735"/>
      <c r="Q38" s="735"/>
      <c r="R38" s="736"/>
      <c r="S38" s="245"/>
      <c r="T38" s="524"/>
      <c r="U38" s="520"/>
      <c r="V38" s="520"/>
      <c r="W38" s="520"/>
      <c r="X38" s="520"/>
      <c r="Y38" s="520"/>
      <c r="Z38" s="521"/>
      <c r="AA38" s="526"/>
      <c r="AB38" s="520"/>
      <c r="AC38" s="520"/>
      <c r="AD38" s="520"/>
      <c r="AE38" s="520"/>
      <c r="AF38" s="520"/>
      <c r="AG38" s="520"/>
      <c r="AH38" s="521"/>
      <c r="AI38" s="521"/>
      <c r="AJ38" s="521"/>
      <c r="AK38" s="522"/>
      <c r="AL38" s="522"/>
    </row>
    <row r="39" spans="1:38" ht="43.5" customHeight="1">
      <c r="A39" s="523">
        <v>5</v>
      </c>
      <c r="B39" s="273" t="str">
        <f>VLOOKUP(A39,Table1[],2,0)</f>
        <v>Indicator de impact</v>
      </c>
      <c r="C39" s="708" t="str">
        <f>VLOOKUP(A39,Table1[],4,0)</f>
        <v>HIV I-10⁽ᴹ⁾: Procentul LS care trăiesc cu HIV</v>
      </c>
      <c r="D39" s="708"/>
      <c r="E39" s="708"/>
      <c r="F39" s="365" t="str">
        <f t="shared" si="1"/>
        <v>n/a</v>
      </c>
      <c r="G39" s="365" t="str">
        <f t="shared" si="0"/>
        <v>n/a</v>
      </c>
      <c r="H39" s="709">
        <f t="shared" ref="H39:H45" si="2">+IF(ISERROR(F39/G39),0,G39/F39)</f>
        <v>0</v>
      </c>
      <c r="I39" s="710"/>
      <c r="J39" s="710"/>
      <c r="K39" s="710"/>
      <c r="L39" s="711"/>
      <c r="M39" s="734" t="s">
        <v>505</v>
      </c>
      <c r="N39" s="735"/>
      <c r="O39" s="735"/>
      <c r="P39" s="735"/>
      <c r="Q39" s="735"/>
      <c r="R39" s="736"/>
      <c r="S39" s="245"/>
      <c r="T39" s="524"/>
      <c r="U39" s="520"/>
      <c r="V39" s="520"/>
      <c r="W39" s="520"/>
      <c r="X39" s="520"/>
      <c r="Y39" s="520"/>
      <c r="Z39" s="521"/>
      <c r="AA39" s="526"/>
      <c r="AB39" s="520"/>
      <c r="AC39" s="520"/>
      <c r="AD39" s="520"/>
      <c r="AE39" s="520"/>
      <c r="AF39" s="520"/>
      <c r="AG39" s="520"/>
      <c r="AH39" s="521"/>
      <c r="AI39" s="521"/>
      <c r="AJ39" s="521"/>
      <c r="AK39" s="522"/>
      <c r="AL39" s="522"/>
    </row>
    <row r="40" spans="1:38" ht="43.5" customHeight="1">
      <c r="A40" s="523">
        <v>6</v>
      </c>
      <c r="B40" s="273" t="str">
        <f>VLOOKUP(A40,Table1[],2,0)</f>
        <v>Indicator de impact</v>
      </c>
      <c r="C40" s="708" t="str">
        <f>VLOOKUP(A40,Table1[],4,0)</f>
        <v>HIV I-11⁽ᴹ⁾: Procentul consumatorilor de droguri injectabile care trăiesc cu HIV</v>
      </c>
      <c r="D40" s="708"/>
      <c r="E40" s="708"/>
      <c r="F40" s="365" t="str">
        <f t="shared" si="1"/>
        <v>n/a</v>
      </c>
      <c r="G40" s="365" t="str">
        <f t="shared" si="0"/>
        <v>n/a</v>
      </c>
      <c r="H40" s="709">
        <f t="shared" si="2"/>
        <v>0</v>
      </c>
      <c r="I40" s="710"/>
      <c r="J40" s="710"/>
      <c r="K40" s="710"/>
      <c r="L40" s="711"/>
      <c r="M40" s="734" t="s">
        <v>505</v>
      </c>
      <c r="N40" s="735"/>
      <c r="O40" s="735"/>
      <c r="P40" s="735"/>
      <c r="Q40" s="735"/>
      <c r="R40" s="736"/>
      <c r="S40" s="245"/>
      <c r="T40" s="524"/>
      <c r="U40" s="520"/>
      <c r="V40" s="520"/>
      <c r="W40" s="520"/>
      <c r="X40" s="520"/>
      <c r="Y40" s="520"/>
      <c r="Z40" s="521"/>
      <c r="AA40" s="526"/>
      <c r="AB40" s="520"/>
      <c r="AC40" s="520"/>
      <c r="AD40" s="520"/>
      <c r="AE40" s="520"/>
      <c r="AF40" s="520"/>
      <c r="AG40" s="520"/>
      <c r="AH40" s="521"/>
      <c r="AI40" s="521"/>
      <c r="AJ40" s="521"/>
      <c r="AK40" s="522"/>
      <c r="AL40" s="522"/>
    </row>
    <row r="41" spans="1:38" ht="43.5" customHeight="1">
      <c r="A41" s="523">
        <v>7</v>
      </c>
      <c r="B41" s="273" t="str">
        <f>VLOOKUP(A41,Table1[],2,0)</f>
        <v>Indicator de rezultat</v>
      </c>
      <c r="C41" s="708" t="str">
        <f>VLOOKUP(A41,Table1[],4,0)</f>
        <v>TB O-4(M): Rata succesului tratamentului pacienților cu RR TB și/sau MDR-TB</v>
      </c>
      <c r="D41" s="708"/>
      <c r="E41" s="708"/>
      <c r="F41" s="364">
        <f t="shared" si="1"/>
        <v>0.61799999999999999</v>
      </c>
      <c r="G41" s="364">
        <f t="shared" si="0"/>
        <v>0.62529999999999997</v>
      </c>
      <c r="H41" s="709">
        <f>+IF(ISERROR(F41/G41),0,G41/F41)</f>
        <v>1.0118122977346278</v>
      </c>
      <c r="I41" s="710"/>
      <c r="J41" s="710"/>
      <c r="K41" s="710"/>
      <c r="L41" s="711"/>
      <c r="M41" s="714" t="s">
        <v>526</v>
      </c>
      <c r="N41" s="715"/>
      <c r="O41" s="715"/>
      <c r="P41" s="715"/>
      <c r="Q41" s="715"/>
      <c r="R41" s="716"/>
      <c r="S41" s="245"/>
      <c r="T41" s="527"/>
      <c r="U41" s="520"/>
      <c r="V41" s="520"/>
      <c r="W41" s="520"/>
      <c r="X41" s="520"/>
      <c r="Y41" s="520"/>
      <c r="Z41" s="521"/>
      <c r="AA41" s="526"/>
      <c r="AB41" s="520"/>
      <c r="AC41" s="520"/>
      <c r="AD41" s="520"/>
      <c r="AE41" s="520"/>
      <c r="AF41" s="520"/>
      <c r="AG41" s="528"/>
      <c r="AH41" s="12"/>
      <c r="AI41" s="12"/>
      <c r="AJ41" s="12"/>
    </row>
    <row r="42" spans="1:38" ht="132.75" customHeight="1">
      <c r="A42" s="523">
        <v>8</v>
      </c>
      <c r="B42" s="273" t="str">
        <f>VLOOKUP(A42,Table1[],2,0)</f>
        <v>Indicator de rezultat</v>
      </c>
      <c r="C42" s="708" t="str">
        <f>VLOOKUP(A42,Table1[],4,0)</f>
        <v>TB O-5(M): Rata de acoperire cu tratament antituberculos</v>
      </c>
      <c r="D42" s="708"/>
      <c r="E42" s="708"/>
      <c r="F42" s="364">
        <f t="shared" si="1"/>
        <v>0.88349999999999995</v>
      </c>
      <c r="G42" s="364">
        <f t="shared" si="0"/>
        <v>0.56230000000000002</v>
      </c>
      <c r="H42" s="709">
        <f>+IF(ISERROR(F42/G42),0,G42/F42)</f>
        <v>0.63644595359366163</v>
      </c>
      <c r="I42" s="710"/>
      <c r="J42" s="710"/>
      <c r="K42" s="710"/>
      <c r="L42" s="711"/>
      <c r="M42" s="714" t="s">
        <v>529</v>
      </c>
      <c r="N42" s="715"/>
      <c r="O42" s="715"/>
      <c r="P42" s="715"/>
      <c r="Q42" s="715"/>
      <c r="R42" s="716"/>
      <c r="S42" s="245"/>
      <c r="T42" s="527"/>
      <c r="U42" s="520"/>
      <c r="V42" s="520"/>
      <c r="W42" s="520"/>
      <c r="X42" s="520"/>
      <c r="Y42" s="520"/>
      <c r="Z42" s="521"/>
      <c r="AA42" s="526"/>
      <c r="AB42" s="520"/>
      <c r="AC42" s="520"/>
      <c r="AD42" s="520"/>
      <c r="AE42" s="520"/>
      <c r="AF42" s="520"/>
      <c r="AG42" s="528"/>
      <c r="AH42" s="12"/>
      <c r="AI42" s="12"/>
      <c r="AJ42" s="12"/>
    </row>
    <row r="43" spans="1:38" ht="43.5" customHeight="1">
      <c r="A43" s="523">
        <v>9</v>
      </c>
      <c r="B43" s="273" t="str">
        <f>VLOOKUP(A43,Table1[],2,0)</f>
        <v>Indicator de rezultat</v>
      </c>
      <c r="C43" s="708" t="str">
        <f>VLOOKUP(A43,Table1[],4,0)</f>
        <v>HIV O-4a⁽ᴹ⁾: Procentul BSB care raportează utilizarea prezervativului în timpul ultimului act de sex anal cu un partener de sex masculin</v>
      </c>
      <c r="D43" s="708"/>
      <c r="E43" s="708"/>
      <c r="F43" s="364" t="str">
        <f t="shared" si="1"/>
        <v>n/a</v>
      </c>
      <c r="G43" s="364" t="str">
        <f t="shared" si="0"/>
        <v>n/a</v>
      </c>
      <c r="H43" s="709">
        <f t="shared" si="2"/>
        <v>0</v>
      </c>
      <c r="I43" s="710"/>
      <c r="J43" s="710"/>
      <c r="K43" s="710"/>
      <c r="L43" s="711"/>
      <c r="M43" s="734" t="s">
        <v>505</v>
      </c>
      <c r="N43" s="735"/>
      <c r="O43" s="735"/>
      <c r="P43" s="735"/>
      <c r="Q43" s="735"/>
      <c r="R43" s="736"/>
      <c r="S43" s="245"/>
      <c r="T43" s="527"/>
      <c r="U43" s="520"/>
      <c r="V43" s="520"/>
      <c r="W43" s="520"/>
      <c r="X43" s="520"/>
      <c r="Y43" s="520"/>
      <c r="Z43" s="521"/>
      <c r="AA43" s="526"/>
      <c r="AB43" s="520"/>
      <c r="AC43" s="520"/>
      <c r="AD43" s="520"/>
      <c r="AE43" s="520"/>
      <c r="AF43" s="520"/>
      <c r="AG43" s="528"/>
      <c r="AH43" s="12"/>
      <c r="AI43" s="12"/>
      <c r="AJ43" s="12"/>
    </row>
    <row r="44" spans="1:38" ht="54" customHeight="1">
      <c r="A44" s="523">
        <v>10</v>
      </c>
      <c r="B44" s="273" t="str">
        <f>VLOOKUP(A44,Table1[],2,0)</f>
        <v>Indicator de rezultat</v>
      </c>
      <c r="C44" s="708" t="str">
        <f>VLOOKUP(A44,Table1[],4,0)</f>
        <v>HIV O-5⁽ᴹ⁾: Procentul LS care raportează utilizarea prezervativului cu ultimul lor client</v>
      </c>
      <c r="D44" s="708"/>
      <c r="E44" s="708"/>
      <c r="F44" s="364" t="str">
        <f t="shared" si="1"/>
        <v>n/a</v>
      </c>
      <c r="G44" s="364" t="str">
        <f t="shared" si="0"/>
        <v>n/a</v>
      </c>
      <c r="H44" s="709">
        <f t="shared" si="2"/>
        <v>0</v>
      </c>
      <c r="I44" s="710"/>
      <c r="J44" s="710"/>
      <c r="K44" s="710"/>
      <c r="L44" s="711"/>
      <c r="M44" s="734" t="s">
        <v>505</v>
      </c>
      <c r="N44" s="735"/>
      <c r="O44" s="735"/>
      <c r="P44" s="735"/>
      <c r="Q44" s="735"/>
      <c r="R44" s="736"/>
      <c r="S44" s="245"/>
      <c r="T44" s="527"/>
      <c r="U44" s="520"/>
      <c r="V44" s="520"/>
      <c r="W44" s="520"/>
      <c r="X44" s="520"/>
      <c r="Y44" s="520"/>
      <c r="Z44" s="521"/>
      <c r="AA44" s="526"/>
      <c r="AB44" s="520"/>
      <c r="AC44" s="520"/>
      <c r="AD44" s="520"/>
      <c r="AE44" s="520"/>
      <c r="AF44" s="520"/>
      <c r="AG44" s="528"/>
      <c r="AH44" s="12"/>
      <c r="AI44" s="12"/>
      <c r="AJ44" s="12"/>
    </row>
    <row r="45" spans="1:38" ht="43.5" customHeight="1">
      <c r="A45" s="523">
        <v>11</v>
      </c>
      <c r="B45" s="273" t="str">
        <f>VLOOKUP(A45,Table1[],2,0)</f>
        <v>Indicator de rezultat</v>
      </c>
      <c r="C45" s="708" t="str">
        <f>VLOOKUP(A45,Table1[],4,0)</f>
        <v>HIV O-6⁽ᴹ⁾: Procentul CDI care raportează utilizarea setului pentru injectare steril la ultima lor injectare</v>
      </c>
      <c r="D45" s="708"/>
      <c r="E45" s="708"/>
      <c r="F45" s="364" t="str">
        <f t="shared" si="1"/>
        <v>n/a</v>
      </c>
      <c r="G45" s="364" t="str">
        <f t="shared" si="0"/>
        <v>n/a</v>
      </c>
      <c r="H45" s="709">
        <f t="shared" si="2"/>
        <v>0</v>
      </c>
      <c r="I45" s="710"/>
      <c r="J45" s="710"/>
      <c r="K45" s="710"/>
      <c r="L45" s="711"/>
      <c r="M45" s="734" t="s">
        <v>505</v>
      </c>
      <c r="N45" s="735"/>
      <c r="O45" s="735"/>
      <c r="P45" s="735"/>
      <c r="Q45" s="735"/>
      <c r="R45" s="736"/>
      <c r="S45" s="245"/>
      <c r="T45" s="527"/>
      <c r="U45" s="520"/>
      <c r="V45" s="520"/>
      <c r="W45" s="520"/>
      <c r="X45" s="520"/>
      <c r="Y45" s="520"/>
      <c r="Z45" s="521"/>
      <c r="AA45" s="526"/>
      <c r="AB45" s="520"/>
      <c r="AC45" s="520"/>
      <c r="AD45" s="520"/>
      <c r="AE45" s="520"/>
      <c r="AF45" s="520"/>
      <c r="AG45" s="528"/>
      <c r="AH45" s="12"/>
      <c r="AI45" s="12"/>
      <c r="AJ45" s="12"/>
    </row>
    <row r="46" spans="1:38" ht="43.5" customHeight="1">
      <c r="A46" s="523">
        <v>12</v>
      </c>
      <c r="B46" s="273" t="str">
        <f>VLOOKUP(A46,Table1[],2,0)</f>
        <v>Indicator de rezultat</v>
      </c>
      <c r="C46" s="708" t="str">
        <f>VLOOKUP(A46,Table1[],4,0)</f>
        <v>HIV O-11⁽ᴹ⁾: Procentul PTH care își cunosc statutul HIV la sfîrșitul perioadei de raportare</v>
      </c>
      <c r="D46" s="708"/>
      <c r="E46" s="708"/>
      <c r="F46" s="364">
        <f t="shared" si="1"/>
        <v>0.73</v>
      </c>
      <c r="G46" s="364" t="str">
        <f t="shared" si="0"/>
        <v>n/a</v>
      </c>
      <c r="H46" s="709">
        <f t="shared" ref="H46:H59" si="3">+IF(ISERROR(G46/F46),0,G46/F46)</f>
        <v>0</v>
      </c>
      <c r="I46" s="710"/>
      <c r="J46" s="710"/>
      <c r="K46" s="710"/>
      <c r="L46" s="711"/>
      <c r="M46" s="714" t="s">
        <v>540</v>
      </c>
      <c r="N46" s="715"/>
      <c r="O46" s="715"/>
      <c r="P46" s="715"/>
      <c r="Q46" s="715"/>
      <c r="R46" s="716"/>
      <c r="S46" s="245"/>
      <c r="T46" s="527"/>
      <c r="U46" s="520" t="e">
        <f t="shared" ref="U46:X47" si="4">IF($L36&gt;U$34,IF($L36&lt;=U$35,$L36,NA()),NA())</f>
        <v>#N/A</v>
      </c>
      <c r="V46" s="520" t="e">
        <f t="shared" si="4"/>
        <v>#N/A</v>
      </c>
      <c r="W46" s="520" t="e">
        <f t="shared" si="4"/>
        <v>#N/A</v>
      </c>
      <c r="X46" s="520" t="e">
        <f t="shared" si="4"/>
        <v>#N/A</v>
      </c>
      <c r="Y46" s="520" t="e">
        <f>IF($L36&gt;Y$34,IF($L36&lt;=Y$35,1,1),NA())</f>
        <v>#N/A</v>
      </c>
      <c r="Z46" s="521"/>
      <c r="AA46" s="526" t="e">
        <f>+'Detail despre Grant'!#REF!</f>
        <v>#REF!</v>
      </c>
      <c r="AB46" s="520" t="e">
        <f>+IF(AA46="A1",1,IF(AA46="A2",0.8,IF(AA46="B1",0.6,IF(AA46="B2",0.4,0.2))))</f>
        <v>#REF!</v>
      </c>
      <c r="AC46" s="520" t="e">
        <f t="shared" ref="AC46:AG47" si="5">IF($AB46&gt;AC$34,IF($AB46&lt;=AC$35,$AB46,NA()),NA())</f>
        <v>#REF!</v>
      </c>
      <c r="AD46" s="520" t="e">
        <f t="shared" si="5"/>
        <v>#REF!</v>
      </c>
      <c r="AE46" s="520" t="e">
        <f t="shared" si="5"/>
        <v>#REF!</v>
      </c>
      <c r="AF46" s="520" t="e">
        <f t="shared" si="5"/>
        <v>#REF!</v>
      </c>
      <c r="AG46" s="528" t="e">
        <f t="shared" si="5"/>
        <v>#REF!</v>
      </c>
      <c r="AH46" s="12"/>
      <c r="AI46" s="12"/>
      <c r="AJ46" s="12"/>
    </row>
    <row r="47" spans="1:38" ht="43.5" customHeight="1">
      <c r="A47" s="523">
        <v>13</v>
      </c>
      <c r="B47" s="273" t="str">
        <f>VLOOKUP(A47,Table1[],2,0)</f>
        <v>Indicator de rezultat</v>
      </c>
      <c r="C47" s="708" t="str">
        <f>VLOOKUP(A47,Table1[],4,0)</f>
        <v>HIV O-12: Procentul PTH aflați în tratament ARV, care prezintă supresie virală</v>
      </c>
      <c r="D47" s="708"/>
      <c r="E47" s="708"/>
      <c r="F47" s="364">
        <f t="shared" si="1"/>
        <v>0.86</v>
      </c>
      <c r="G47" s="364">
        <f t="shared" si="0"/>
        <v>0.94950000000000001</v>
      </c>
      <c r="H47" s="709">
        <f t="shared" si="3"/>
        <v>1.1040697674418605</v>
      </c>
      <c r="I47" s="710"/>
      <c r="J47" s="710"/>
      <c r="K47" s="710"/>
      <c r="L47" s="711"/>
      <c r="M47" s="714" t="s">
        <v>523</v>
      </c>
      <c r="N47" s="715"/>
      <c r="O47" s="715"/>
      <c r="P47" s="715"/>
      <c r="Q47" s="715"/>
      <c r="R47" s="716"/>
      <c r="S47" s="245"/>
      <c r="T47" s="527"/>
      <c r="U47" s="520" t="e">
        <f t="shared" si="4"/>
        <v>#N/A</v>
      </c>
      <c r="V47" s="520" t="e">
        <f t="shared" si="4"/>
        <v>#N/A</v>
      </c>
      <c r="W47" s="520" t="e">
        <f t="shared" si="4"/>
        <v>#N/A</v>
      </c>
      <c r="X47" s="520" t="e">
        <f t="shared" si="4"/>
        <v>#N/A</v>
      </c>
      <c r="Y47" s="520" t="e">
        <f>IF($L37&gt;Y$34,IF($L37&lt;=Y$35,1,NA()),NA())</f>
        <v>#N/A</v>
      </c>
      <c r="Z47" s="521"/>
      <c r="AA47" s="526" t="e">
        <f>+'Detail despre Grant'!#REF!</f>
        <v>#REF!</v>
      </c>
      <c r="AB47" s="520" t="e">
        <f>+IF(AA47="A1",1,IF(AA47="A2",0.8,IF(AA47="B1",0.6,IF(AA47="B2",0.4,0.2))))</f>
        <v>#REF!</v>
      </c>
      <c r="AC47" s="520" t="e">
        <f t="shared" si="5"/>
        <v>#REF!</v>
      </c>
      <c r="AD47" s="520" t="e">
        <f t="shared" si="5"/>
        <v>#REF!</v>
      </c>
      <c r="AE47" s="520" t="e">
        <f t="shared" si="5"/>
        <v>#REF!</v>
      </c>
      <c r="AF47" s="520" t="e">
        <f t="shared" si="5"/>
        <v>#REF!</v>
      </c>
      <c r="AG47" s="528" t="e">
        <f t="shared" si="5"/>
        <v>#REF!</v>
      </c>
      <c r="AH47" s="12"/>
      <c r="AI47" s="12"/>
      <c r="AJ47" s="12"/>
    </row>
    <row r="48" spans="1:38" ht="91.5" customHeight="1">
      <c r="A48" s="523">
        <v>14</v>
      </c>
      <c r="B48" s="273" t="str">
        <f>VLOOKUP(A48,Table1[],2,0)</f>
        <v>Indicator de proces</v>
      </c>
      <c r="C48" s="708" t="str">
        <f>VLOOKUP(A48,Table1[],4,0)</f>
        <v xml:space="preserve">TCP-1⁽ᴹ⁾: Numărul cazurilor de tuberculoză, toate formele (bacteriologic confirmate și diagnosticate clinic, cazuri noi și recidive) notificate către autoritatea națională, într-o perioadă anumită de timp </v>
      </c>
      <c r="D48" s="708"/>
      <c r="E48" s="708"/>
      <c r="F48" s="551">
        <f t="shared" si="1"/>
        <v>2726</v>
      </c>
      <c r="G48" s="551">
        <f t="shared" si="0"/>
        <v>2064</v>
      </c>
      <c r="H48" s="709">
        <f t="shared" si="3"/>
        <v>0.75715333822450481</v>
      </c>
      <c r="I48" s="710"/>
      <c r="J48" s="710"/>
      <c r="K48" s="710"/>
      <c r="L48" s="711"/>
      <c r="M48" s="712" t="s">
        <v>535</v>
      </c>
      <c r="N48" s="713"/>
      <c r="O48" s="713"/>
      <c r="P48" s="713"/>
      <c r="Q48" s="713"/>
      <c r="R48" s="713"/>
      <c r="S48" s="245"/>
      <c r="T48" s="527"/>
      <c r="U48" s="520"/>
      <c r="V48" s="520"/>
      <c r="W48" s="520"/>
      <c r="X48" s="520"/>
      <c r="Y48" s="520"/>
      <c r="Z48" s="521"/>
      <c r="AA48" s="521"/>
      <c r="AB48" s="521"/>
      <c r="AC48" s="521"/>
      <c r="AD48" s="521"/>
      <c r="AE48" s="521"/>
      <c r="AF48" s="521"/>
      <c r="AG48" s="3"/>
      <c r="AH48" s="12"/>
      <c r="AI48" s="12"/>
      <c r="AJ48" s="12"/>
    </row>
    <row r="49" spans="1:36" ht="72.75" customHeight="1">
      <c r="A49" s="523">
        <v>15</v>
      </c>
      <c r="B49" s="273" t="str">
        <f>VLOOKUP(A49,Table1[],2,0)</f>
        <v>Indicator de proces</v>
      </c>
      <c r="C49" s="708" t="str">
        <f>VLOOKUP(A49,Table1[],4,0)</f>
        <v xml:space="preserve">MDR TB-2⁽ᴹ⁾: Numărul cazurilor cu tuberculoză drog-rezistentă (RR-TB și/sau MDR-TB) notificate către autoritatea națională          </v>
      </c>
      <c r="D49" s="708"/>
      <c r="E49" s="708"/>
      <c r="F49" s="551">
        <f t="shared" si="1"/>
        <v>872</v>
      </c>
      <c r="G49" s="551">
        <f t="shared" si="0"/>
        <v>495</v>
      </c>
      <c r="H49" s="709">
        <f t="shared" si="3"/>
        <v>0.56766055045871555</v>
      </c>
      <c r="I49" s="710"/>
      <c r="J49" s="710"/>
      <c r="K49" s="710"/>
      <c r="L49" s="711"/>
      <c r="M49" s="712" t="s">
        <v>530</v>
      </c>
      <c r="N49" s="713"/>
      <c r="O49" s="713"/>
      <c r="P49" s="713"/>
      <c r="Q49" s="713"/>
      <c r="R49" s="713"/>
      <c r="S49" s="245"/>
      <c r="T49" s="527"/>
      <c r="U49" s="520" t="e">
        <f>IF($L47&gt;U$34,IF($L47&lt;=U$35,$L47,NA()),NA())</f>
        <v>#N/A</v>
      </c>
      <c r="V49" s="520" t="e">
        <f>IF($L47&gt;V$34,IF($L47&lt;=V$35,$L47,NA()),NA())</f>
        <v>#N/A</v>
      </c>
      <c r="W49" s="520" t="e">
        <f>IF($L47&gt;W$34,IF($L47&lt;=W$35,$L47,NA()),NA())</f>
        <v>#N/A</v>
      </c>
      <c r="X49" s="520" t="e">
        <f>IF($L47&gt;X$34,IF($L47&lt;=X$35,$L47,NA()),NA())</f>
        <v>#N/A</v>
      </c>
      <c r="Y49" s="520" t="e">
        <f>IF($L47&gt;Y$34,IF($L47&lt;=Y$35,1,NA()),NA())</f>
        <v>#N/A</v>
      </c>
      <c r="Z49" s="521"/>
      <c r="AA49" s="521"/>
      <c r="AB49" s="521"/>
      <c r="AC49" s="521"/>
      <c r="AD49" s="521"/>
      <c r="AE49" s="521"/>
      <c r="AF49" s="521"/>
      <c r="AG49" s="3"/>
      <c r="AH49" s="12"/>
      <c r="AI49" s="12"/>
      <c r="AJ49" s="12"/>
    </row>
    <row r="50" spans="1:36" ht="67.5" customHeight="1">
      <c r="A50" s="523">
        <v>16</v>
      </c>
      <c r="B50" s="273" t="str">
        <f>VLOOKUP(A50,Table1[],2,0)</f>
        <v>Indicator de proces</v>
      </c>
      <c r="C50" s="708" t="str">
        <f>VLOOKUP(A50,Table1[],4,0)</f>
        <v xml:space="preserve">MDR TB-3⁽ᴹ⁾: Numărul cazurilor cu tuberculoză drog-rezistentă (RR-TB și/sau MDR-TB), confirmate bacteriologic, care au demarat tratamentul DOTS-Plus, în perioada raportată                </v>
      </c>
      <c r="D50" s="708"/>
      <c r="E50" s="708"/>
      <c r="F50" s="551">
        <f t="shared" si="1"/>
        <v>872</v>
      </c>
      <c r="G50" s="551">
        <f t="shared" si="0"/>
        <v>579</v>
      </c>
      <c r="H50" s="709">
        <f t="shared" si="3"/>
        <v>0.66399082568807344</v>
      </c>
      <c r="I50" s="710"/>
      <c r="J50" s="710"/>
      <c r="K50" s="710"/>
      <c r="L50" s="711"/>
      <c r="M50" s="712" t="s">
        <v>531</v>
      </c>
      <c r="N50" s="713"/>
      <c r="O50" s="713"/>
      <c r="P50" s="713"/>
      <c r="Q50" s="713"/>
      <c r="R50" s="713"/>
      <c r="S50" s="245"/>
      <c r="T50" s="527"/>
      <c r="U50" s="520" t="e">
        <f>IF(#REF!&gt;U$34,IF(#REF!&lt;=U$35,#REF!,NA()),NA())</f>
        <v>#REF!</v>
      </c>
      <c r="V50" s="520" t="e">
        <f>IF(#REF!&gt;V$34,IF(#REF!&lt;=V$35,#REF!,NA()),NA())</f>
        <v>#REF!</v>
      </c>
      <c r="W50" s="520" t="e">
        <f>IF(#REF!&gt;W$34,IF(#REF!&lt;=W$35,#REF!,NA()),NA())</f>
        <v>#REF!</v>
      </c>
      <c r="X50" s="520" t="e">
        <f>IF(#REF!&gt;X$34,IF(#REF!&lt;=X$35,#REF!,NA()),NA())</f>
        <v>#REF!</v>
      </c>
      <c r="Y50" s="520" t="e">
        <f>IF(#REF!&gt;Y$34,IF(#REF!&lt;=Y$35,1,NA()),NA())</f>
        <v>#REF!</v>
      </c>
      <c r="Z50" s="521"/>
      <c r="AA50" s="521"/>
      <c r="AB50" s="521"/>
      <c r="AC50" s="521"/>
      <c r="AD50" s="521"/>
      <c r="AE50" s="521"/>
      <c r="AF50" s="521"/>
      <c r="AG50" s="3"/>
      <c r="AH50" s="12"/>
      <c r="AI50" s="12"/>
      <c r="AJ50" s="12"/>
    </row>
    <row r="51" spans="1:36" ht="75.75" customHeight="1">
      <c r="A51" s="523">
        <v>17</v>
      </c>
      <c r="B51" s="273" t="str">
        <f>VLOOKUP(A51,Table1[],2,0)</f>
        <v>Indicator de proces</v>
      </c>
      <c r="C51" s="708" t="str">
        <f>VLOOKUP(A51,Table1[],4,0)</f>
        <v>TCS-1.1⁽ᴹ⁾: Procentul persoanelor aflate în tratament ARV, din numărul total de PTH, la sfîrșitul perioadei de raportare</v>
      </c>
      <c r="D51" s="708"/>
      <c r="E51" s="708"/>
      <c r="F51" s="548">
        <f t="shared" si="1"/>
        <v>0.57140000000000002</v>
      </c>
      <c r="G51" s="548">
        <f t="shared" si="0"/>
        <v>0.49780000000000002</v>
      </c>
      <c r="H51" s="709">
        <f t="shared" si="3"/>
        <v>0.87119355967798395</v>
      </c>
      <c r="I51" s="710"/>
      <c r="J51" s="710"/>
      <c r="K51" s="710"/>
      <c r="L51" s="711"/>
      <c r="M51" s="714" t="s">
        <v>536</v>
      </c>
      <c r="N51" s="715"/>
      <c r="O51" s="715"/>
      <c r="P51" s="715"/>
      <c r="Q51" s="715"/>
      <c r="R51" s="716"/>
      <c r="S51" s="245"/>
      <c r="T51" s="527"/>
      <c r="U51" s="520" t="e">
        <f>IF(#REF!&gt;U$34,IF(#REF!&lt;=U$35,#REF!,NA()),NA())</f>
        <v>#REF!</v>
      </c>
      <c r="V51" s="520" t="e">
        <f>IF(#REF!&gt;V$34,IF(#REF!&lt;=V$35,#REF!,NA()),NA())</f>
        <v>#REF!</v>
      </c>
      <c r="W51" s="520" t="e">
        <f>IF(#REF!&gt;W$34,IF(#REF!&lt;=W$35,#REF!,NA()),NA())</f>
        <v>#REF!</v>
      </c>
      <c r="X51" s="520" t="e">
        <f>IF(#REF!&gt;X$34,IF(#REF!&lt;=X$35,#REF!,NA()),NA())</f>
        <v>#REF!</v>
      </c>
      <c r="Y51" s="520" t="e">
        <f>IF(#REF!&gt;Y$34,IF(#REF!&lt;=Y$35,1,NA()),NA())</f>
        <v>#REF!</v>
      </c>
      <c r="Z51" s="521"/>
      <c r="AA51" s="521"/>
      <c r="AB51" s="521"/>
      <c r="AC51" s="521"/>
      <c r="AD51" s="521"/>
      <c r="AE51" s="521"/>
      <c r="AF51" s="521"/>
      <c r="AG51" s="3"/>
      <c r="AH51" s="12"/>
      <c r="AI51" s="12"/>
      <c r="AJ51" s="12"/>
    </row>
    <row r="52" spans="1:36" ht="68.25" customHeight="1">
      <c r="A52" s="523">
        <v>18</v>
      </c>
      <c r="B52" s="273" t="str">
        <f>VLOOKUP(A52,Table1[],2,0)</f>
        <v>Indicator de proces</v>
      </c>
      <c r="C52" s="708" t="str">
        <f>VLOOKUP(A52,Table1[],4,0)</f>
        <v xml:space="preserve">KP-1a⁽ᴹ⁾: Procentul BSB acoperiți de programele de prevenire HIV - pachet definit de servicii </v>
      </c>
      <c r="D52" s="708"/>
      <c r="E52" s="708"/>
      <c r="F52" s="548">
        <f t="shared" si="1"/>
        <v>0.35</v>
      </c>
      <c r="G52" s="548">
        <f t="shared" si="0"/>
        <v>0.29239999999999999</v>
      </c>
      <c r="H52" s="709">
        <f t="shared" si="3"/>
        <v>0.83542857142857141</v>
      </c>
      <c r="I52" s="710"/>
      <c r="J52" s="710"/>
      <c r="K52" s="710"/>
      <c r="L52" s="711"/>
      <c r="M52" s="712" t="s">
        <v>537</v>
      </c>
      <c r="N52" s="713"/>
      <c r="O52" s="713"/>
      <c r="P52" s="713"/>
      <c r="Q52" s="713"/>
      <c r="R52" s="713"/>
      <c r="S52" s="245"/>
      <c r="T52" s="527"/>
      <c r="U52" s="520" t="e">
        <f t="shared" ref="U52:X53" si="6">IF($L50&gt;U$34,IF($L50&lt;=U$35,$L50,NA()),NA())</f>
        <v>#N/A</v>
      </c>
      <c r="V52" s="520" t="e">
        <f t="shared" si="6"/>
        <v>#N/A</v>
      </c>
      <c r="W52" s="520" t="e">
        <f t="shared" si="6"/>
        <v>#N/A</v>
      </c>
      <c r="X52" s="520" t="e">
        <f t="shared" si="6"/>
        <v>#N/A</v>
      </c>
      <c r="Y52" s="520" t="e">
        <f>IF($L50&gt;Y$34,IF($L50&lt;=Y$35,1,NA()),NA())</f>
        <v>#N/A</v>
      </c>
      <c r="Z52" s="521"/>
      <c r="AA52" s="521"/>
      <c r="AB52" s="521"/>
      <c r="AC52" s="521"/>
      <c r="AD52" s="521"/>
      <c r="AE52" s="521"/>
      <c r="AF52" s="521"/>
      <c r="AG52" s="3"/>
      <c r="AH52" s="12"/>
      <c r="AI52" s="12"/>
      <c r="AJ52" s="12"/>
    </row>
    <row r="53" spans="1:36" ht="68.25" customHeight="1">
      <c r="A53" s="523">
        <v>19</v>
      </c>
      <c r="B53" s="273" t="str">
        <f>VLOOKUP(A53,Table1[],2,0)</f>
        <v>Indicator de proces</v>
      </c>
      <c r="C53" s="708" t="str">
        <f>VLOOKUP(A53,Table1[],4,0)</f>
        <v xml:space="preserve">KP-1c⁽ᴹ⁾: Procentul LS acoperiți de programele de prevenire HIV - pachet definit de servicii </v>
      </c>
      <c r="D53" s="708"/>
      <c r="E53" s="708"/>
      <c r="F53" s="548">
        <f t="shared" si="1"/>
        <v>0.53920000000000001</v>
      </c>
      <c r="G53" s="548">
        <f t="shared" si="0"/>
        <v>0.48399999999999999</v>
      </c>
      <c r="H53" s="709">
        <f t="shared" si="3"/>
        <v>0.89762611275964388</v>
      </c>
      <c r="I53" s="710"/>
      <c r="J53" s="710"/>
      <c r="K53" s="710"/>
      <c r="L53" s="711"/>
      <c r="M53" s="712" t="s">
        <v>538</v>
      </c>
      <c r="N53" s="713"/>
      <c r="O53" s="713"/>
      <c r="P53" s="713"/>
      <c r="Q53" s="713"/>
      <c r="R53" s="713"/>
      <c r="S53" s="245"/>
      <c r="T53" s="527"/>
      <c r="U53" s="520" t="e">
        <f t="shared" si="6"/>
        <v>#N/A</v>
      </c>
      <c r="V53" s="520" t="e">
        <f t="shared" si="6"/>
        <v>#N/A</v>
      </c>
      <c r="W53" s="520" t="e">
        <f t="shared" si="6"/>
        <v>#N/A</v>
      </c>
      <c r="X53" s="520" t="e">
        <f t="shared" si="6"/>
        <v>#N/A</v>
      </c>
      <c r="Y53" s="520" t="e">
        <f>IF($L51&gt;Y$34,IF($L51&lt;=Y$35,1,NA()),NA())</f>
        <v>#N/A</v>
      </c>
      <c r="Z53" s="521"/>
      <c r="AA53" s="521"/>
      <c r="AB53" s="521"/>
      <c r="AC53" s="521"/>
      <c r="AD53" s="521"/>
      <c r="AE53" s="521"/>
      <c r="AF53" s="521"/>
      <c r="AG53" s="3"/>
      <c r="AH53" s="12"/>
      <c r="AI53" s="12"/>
      <c r="AJ53" s="12"/>
    </row>
    <row r="54" spans="1:36" ht="68.25" customHeight="1">
      <c r="A54" s="523">
        <v>20</v>
      </c>
      <c r="B54" s="273" t="str">
        <f>VLOOKUP(A54,Table1[],2,0)</f>
        <v>Indicator de proces</v>
      </c>
      <c r="C54" s="708" t="str">
        <f>VLOOKUP(A54,Table1[],4,0)</f>
        <v xml:space="preserve">KP-1d⁽ᴹ⁾: Procentul consumatorilor de droguri injectabile acoperiți de programele de prevenire HIV - pachet definit de servicii </v>
      </c>
      <c r="D54" s="708"/>
      <c r="E54" s="708"/>
      <c r="F54" s="548">
        <f t="shared" si="1"/>
        <v>0.72130000000000005</v>
      </c>
      <c r="G54" s="548">
        <f t="shared" si="0"/>
        <v>0.59219999999999995</v>
      </c>
      <c r="H54" s="709">
        <f t="shared" si="3"/>
        <v>0.82101760709829463</v>
      </c>
      <c r="I54" s="710"/>
      <c r="J54" s="710"/>
      <c r="K54" s="710"/>
      <c r="L54" s="711"/>
      <c r="M54" s="712" t="s">
        <v>539</v>
      </c>
      <c r="N54" s="713"/>
      <c r="O54" s="713"/>
      <c r="P54" s="713"/>
      <c r="Q54" s="713"/>
      <c r="R54" s="713"/>
      <c r="S54" s="245"/>
      <c r="T54" s="3"/>
      <c r="U54" s="521"/>
      <c r="V54" s="521"/>
      <c r="W54" s="521"/>
      <c r="X54" s="521"/>
      <c r="Y54" s="521"/>
      <c r="Z54" s="521"/>
      <c r="AA54" s="521"/>
      <c r="AB54" s="521"/>
      <c r="AC54" s="521"/>
      <c r="AD54" s="521"/>
      <c r="AE54" s="521"/>
      <c r="AF54" s="521"/>
      <c r="AG54" s="3"/>
      <c r="AH54" s="12"/>
      <c r="AI54" s="12"/>
      <c r="AJ54" s="12"/>
    </row>
    <row r="55" spans="1:36" ht="141" customHeight="1">
      <c r="A55" s="523">
        <v>21</v>
      </c>
      <c r="B55" s="273" t="str">
        <f>VLOOKUP(A55,Table1[],2,0)</f>
        <v>Indicator de proces</v>
      </c>
      <c r="C55" s="708" t="str">
        <f>VLOOKUP(A55,Table1[],4,0)</f>
        <v>HTS-3a⁽ᴹ⁾: Procentul BSB care au fost testați pentru HIV, în perioada de raportare, și își cunosc rezultatele</v>
      </c>
      <c r="D55" s="708"/>
      <c r="E55" s="708"/>
      <c r="F55" s="548">
        <f t="shared" si="1"/>
        <v>0.32019999999999998</v>
      </c>
      <c r="G55" s="548">
        <f t="shared" si="0"/>
        <v>0.30399999999999999</v>
      </c>
      <c r="H55" s="709">
        <f t="shared" si="3"/>
        <v>0.94940662086196126</v>
      </c>
      <c r="I55" s="710"/>
      <c r="J55" s="710"/>
      <c r="K55" s="710"/>
      <c r="L55" s="711"/>
      <c r="M55" s="712" t="s">
        <v>532</v>
      </c>
      <c r="N55" s="713"/>
      <c r="O55" s="713"/>
      <c r="P55" s="713"/>
      <c r="Q55" s="713"/>
      <c r="R55" s="713"/>
      <c r="S55" s="245"/>
      <c r="T55" s="3"/>
      <c r="U55" s="521"/>
      <c r="V55" s="521"/>
      <c r="W55" s="521"/>
      <c r="X55" s="521"/>
      <c r="Y55" s="521"/>
      <c r="Z55" s="521"/>
      <c r="AA55" s="521"/>
      <c r="AB55" s="521"/>
      <c r="AC55" s="521"/>
      <c r="AD55" s="521"/>
      <c r="AE55" s="521"/>
      <c r="AF55" s="521"/>
      <c r="AG55" s="3"/>
      <c r="AH55" s="12"/>
      <c r="AI55" s="12"/>
      <c r="AJ55" s="12"/>
    </row>
    <row r="56" spans="1:36" ht="123.75" customHeight="1">
      <c r="A56" s="523">
        <v>22</v>
      </c>
      <c r="B56" s="273" t="str">
        <f>VLOOKUP(A56,Table1[],2,0)</f>
        <v>Indicator de proces</v>
      </c>
      <c r="C56" s="708" t="str">
        <f>VLOOKUP(A56,Table1[],4,0)</f>
        <v>HTS-3c⁽ᴹ⁾: Procentul LS care au fost testați pentru HIV, în perioada de raportare, și își cunosc rezultatele</v>
      </c>
      <c r="D56" s="708"/>
      <c r="E56" s="708"/>
      <c r="F56" s="548">
        <f t="shared" si="1"/>
        <v>0.48680000000000001</v>
      </c>
      <c r="G56" s="548">
        <f t="shared" si="0"/>
        <v>0.372</v>
      </c>
      <c r="H56" s="709">
        <f t="shared" si="3"/>
        <v>0.76417419884963023</v>
      </c>
      <c r="I56" s="710"/>
      <c r="J56" s="710"/>
      <c r="K56" s="710"/>
      <c r="L56" s="711"/>
      <c r="M56" s="712" t="s">
        <v>533</v>
      </c>
      <c r="N56" s="713"/>
      <c r="O56" s="713"/>
      <c r="P56" s="713"/>
      <c r="Q56" s="713"/>
      <c r="R56" s="713"/>
      <c r="S56" s="245"/>
      <c r="T56" s="3"/>
      <c r="U56" s="521"/>
      <c r="V56" s="521"/>
      <c r="W56" s="551"/>
      <c r="X56" s="521"/>
      <c r="Y56" s="521"/>
      <c r="Z56" s="521"/>
      <c r="AA56" s="521"/>
      <c r="AB56" s="521"/>
      <c r="AC56" s="521"/>
      <c r="AD56" s="521"/>
      <c r="AE56" s="521"/>
      <c r="AF56" s="521"/>
      <c r="AG56" s="3"/>
      <c r="AH56" s="12"/>
      <c r="AI56" s="12"/>
      <c r="AJ56" s="12"/>
    </row>
    <row r="57" spans="1:36" ht="147.75" customHeight="1">
      <c r="A57" s="523">
        <v>23</v>
      </c>
      <c r="B57" s="273" t="str">
        <f>VLOOKUP(A57,Table1[],2,0)</f>
        <v>Indicator de proces</v>
      </c>
      <c r="C57" s="708" t="str">
        <f>VLOOKUP(A57,Table1[],4,0)</f>
        <v>HTS-3d⁽ᴹ⁾: Procentul CDI care au fost testați pentru HIV, în perioada de raportare, și își cunosc rezultatele</v>
      </c>
      <c r="D57" s="708"/>
      <c r="E57" s="708"/>
      <c r="F57" s="548">
        <f t="shared" si="1"/>
        <v>0.61150000000000004</v>
      </c>
      <c r="G57" s="548">
        <f t="shared" si="0"/>
        <v>0.34499999999999997</v>
      </c>
      <c r="H57" s="709">
        <f t="shared" si="3"/>
        <v>0.56418642681929676</v>
      </c>
      <c r="I57" s="710"/>
      <c r="J57" s="710"/>
      <c r="K57" s="710"/>
      <c r="L57" s="711"/>
      <c r="M57" s="712" t="s">
        <v>534</v>
      </c>
      <c r="N57" s="713"/>
      <c r="O57" s="713"/>
      <c r="P57" s="713"/>
      <c r="Q57" s="713"/>
      <c r="R57" s="713"/>
      <c r="S57" s="245"/>
      <c r="T57" s="3"/>
      <c r="U57" s="521"/>
      <c r="V57" s="521"/>
      <c r="W57" s="521"/>
      <c r="X57" s="521"/>
      <c r="Y57" s="521"/>
      <c r="Z57" s="521"/>
      <c r="AA57" s="521"/>
      <c r="AB57" s="521"/>
      <c r="AC57" s="521"/>
      <c r="AD57" s="521"/>
      <c r="AE57" s="521"/>
      <c r="AF57" s="521"/>
      <c r="AG57" s="3"/>
      <c r="AH57" s="12"/>
      <c r="AI57" s="12"/>
      <c r="AJ57" s="12"/>
    </row>
    <row r="58" spans="1:36" ht="63.75" customHeight="1">
      <c r="A58" s="523">
        <v>24</v>
      </c>
      <c r="B58" s="273" t="str">
        <f>VLOOKUP(A58,Table1[],2,0)</f>
        <v>Indicator de proces</v>
      </c>
      <c r="C58" s="708" t="str">
        <f>VLOOKUP(A58,Table1[],4,0)</f>
        <v>HTS-3f⁽ᴹ⁾: Numărul deținuților care au fost testați pentru HIV, în perioada de raportare, și își cunosc rezultatele</v>
      </c>
      <c r="D58" s="708"/>
      <c r="E58" s="708"/>
      <c r="F58" s="551">
        <f t="shared" si="1"/>
        <v>4024</v>
      </c>
      <c r="G58" s="551">
        <f t="shared" si="0"/>
        <v>3968</v>
      </c>
      <c r="H58" s="709">
        <f t="shared" si="3"/>
        <v>0.98608349900596426</v>
      </c>
      <c r="I58" s="710"/>
      <c r="J58" s="710"/>
      <c r="K58" s="710"/>
      <c r="L58" s="711"/>
      <c r="M58" s="712" t="s">
        <v>527</v>
      </c>
      <c r="N58" s="713"/>
      <c r="O58" s="713"/>
      <c r="P58" s="713"/>
      <c r="Q58" s="713"/>
      <c r="R58" s="713"/>
      <c r="S58" s="529"/>
      <c r="T58" s="3"/>
      <c r="U58" s="521"/>
      <c r="V58" s="521"/>
      <c r="W58" s="521"/>
      <c r="X58" s="521"/>
      <c r="Y58" s="521"/>
      <c r="Z58" s="521"/>
      <c r="AA58" s="521"/>
      <c r="AB58" s="521"/>
      <c r="AC58" s="521"/>
      <c r="AD58" s="521"/>
      <c r="AE58" s="521"/>
      <c r="AF58" s="521"/>
      <c r="AG58" s="3"/>
      <c r="AH58" s="12"/>
      <c r="AI58" s="12"/>
      <c r="AJ58" s="12"/>
    </row>
    <row r="59" spans="1:36" ht="94.5" customHeight="1">
      <c r="A59" s="523">
        <v>25</v>
      </c>
      <c r="B59" s="273" t="str">
        <f>VLOOKUP(A59,Table1[],2,0)</f>
        <v>Indicator de proces</v>
      </c>
      <c r="C59" s="708" t="str">
        <f>VLOOKUP(A59,Table1[],4,0)</f>
        <v>KP-6a: Procentul BSB eligibili, care au inițiat tratamentul oral antiretroviral PrEP, în perioada de raportare</v>
      </c>
      <c r="D59" s="708"/>
      <c r="E59" s="708"/>
      <c r="F59" s="548">
        <f>HLOOKUP($R$3,Indicatori,A59*2,0)</f>
        <v>5.0900000000000001E-2</v>
      </c>
      <c r="G59" s="548">
        <f>HLOOKUP($R$3,Indicatori,A59*2+1,0)</f>
        <v>3.1099999999999999E-2</v>
      </c>
      <c r="H59" s="709">
        <f t="shared" si="3"/>
        <v>0.61100196463654222</v>
      </c>
      <c r="I59" s="710"/>
      <c r="J59" s="710"/>
      <c r="K59" s="710"/>
      <c r="L59" s="711"/>
      <c r="M59" s="712" t="s">
        <v>542</v>
      </c>
      <c r="N59" s="713"/>
      <c r="O59" s="713"/>
      <c r="P59" s="713"/>
      <c r="Q59" s="713"/>
      <c r="R59" s="713"/>
      <c r="T59" s="3"/>
      <c r="U59" s="521"/>
      <c r="V59" s="521"/>
      <c r="W59" s="521"/>
      <c r="X59" s="521"/>
      <c r="Y59" s="521"/>
      <c r="Z59" s="521"/>
      <c r="AA59" s="521"/>
      <c r="AB59" s="521"/>
      <c r="AC59" s="521"/>
      <c r="AD59" s="521"/>
      <c r="AE59" s="521"/>
      <c r="AF59" s="521"/>
      <c r="AG59" s="3"/>
      <c r="AH59" s="12"/>
      <c r="AI59" s="12"/>
      <c r="AJ59" s="12"/>
    </row>
    <row r="60" spans="1:36">
      <c r="T60" s="3"/>
      <c r="U60" s="521"/>
      <c r="V60" s="521"/>
      <c r="W60" s="521"/>
      <c r="X60" s="521"/>
      <c r="Y60" s="521"/>
      <c r="Z60" s="521"/>
      <c r="AA60" s="521"/>
      <c r="AB60" s="521"/>
      <c r="AC60" s="521"/>
      <c r="AD60" s="521"/>
      <c r="AE60" s="521"/>
      <c r="AF60" s="521"/>
      <c r="AG60" s="3"/>
      <c r="AH60" s="12"/>
      <c r="AI60" s="12"/>
      <c r="AJ60" s="12"/>
    </row>
    <row r="61" spans="1:36">
      <c r="T61" s="3"/>
      <c r="U61" s="521"/>
      <c r="V61" s="521"/>
      <c r="W61" s="521"/>
      <c r="X61" s="521"/>
      <c r="Y61" s="521"/>
      <c r="Z61" s="521"/>
      <c r="AA61" s="521"/>
      <c r="AB61" s="521"/>
      <c r="AC61" s="521"/>
      <c r="AD61" s="522"/>
      <c r="AE61" s="522"/>
      <c r="AF61" s="522"/>
    </row>
    <row r="62" spans="1:36">
      <c r="T62" s="3"/>
      <c r="U62" s="521"/>
      <c r="V62" s="521"/>
      <c r="W62" s="521"/>
      <c r="X62" s="521"/>
      <c r="Y62" s="521"/>
      <c r="Z62" s="521"/>
      <c r="AA62" s="521"/>
      <c r="AB62" s="521"/>
      <c r="AC62" s="521"/>
      <c r="AD62" s="522"/>
      <c r="AE62" s="522"/>
      <c r="AF62" s="522"/>
    </row>
    <row r="63" spans="1:36">
      <c r="T63" s="3"/>
      <c r="U63" s="521"/>
      <c r="V63" s="521"/>
      <c r="W63" s="521"/>
      <c r="X63" s="521"/>
      <c r="Y63" s="521"/>
      <c r="Z63" s="521"/>
      <c r="AA63" s="521"/>
      <c r="AB63" s="521"/>
      <c r="AC63" s="521"/>
      <c r="AD63" s="522"/>
      <c r="AE63" s="522"/>
      <c r="AF63" s="522"/>
    </row>
    <row r="64" spans="1:36">
      <c r="T64" s="3"/>
      <c r="U64" s="521"/>
      <c r="V64" s="521"/>
      <c r="W64" s="521"/>
      <c r="X64" s="521"/>
      <c r="Y64" s="521"/>
      <c r="Z64" s="521"/>
      <c r="AA64" s="521"/>
      <c r="AB64" s="521"/>
      <c r="AC64" s="521"/>
      <c r="AD64" s="522"/>
      <c r="AE64" s="522"/>
      <c r="AF64" s="522"/>
    </row>
    <row r="65" spans="20:32">
      <c r="T65" s="3"/>
      <c r="U65" s="521"/>
      <c r="V65" s="521"/>
      <c r="W65" s="521"/>
      <c r="X65" s="521"/>
      <c r="Y65" s="521"/>
      <c r="Z65" s="521"/>
      <c r="AA65" s="521"/>
      <c r="AB65" s="521"/>
      <c r="AC65" s="521"/>
      <c r="AD65" s="522"/>
      <c r="AE65" s="522"/>
      <c r="AF65" s="522"/>
    </row>
  </sheetData>
  <mergeCells count="100">
    <mergeCell ref="C59:E59"/>
    <mergeCell ref="H59:L59"/>
    <mergeCell ref="M59:R59"/>
    <mergeCell ref="D19:F19"/>
    <mergeCell ref="H19:L19"/>
    <mergeCell ref="N19:R19"/>
    <mergeCell ref="N20:R20"/>
    <mergeCell ref="C44:E44"/>
    <mergeCell ref="H44:L44"/>
    <mergeCell ref="M44:R44"/>
    <mergeCell ref="C45:E45"/>
    <mergeCell ref="H45:L45"/>
    <mergeCell ref="M45:R45"/>
    <mergeCell ref="C42:E42"/>
    <mergeCell ref="H42:L42"/>
    <mergeCell ref="M42:R42"/>
    <mergeCell ref="C2:AD2"/>
    <mergeCell ref="D20:F20"/>
    <mergeCell ref="H20:L20"/>
    <mergeCell ref="E5:O5"/>
    <mergeCell ref="G6:L6"/>
    <mergeCell ref="F3:L3"/>
    <mergeCell ref="D4:E4"/>
    <mergeCell ref="C43:E43"/>
    <mergeCell ref="H43:L43"/>
    <mergeCell ref="M43:R43"/>
    <mergeCell ref="C40:E40"/>
    <mergeCell ref="H40:L40"/>
    <mergeCell ref="M40:R40"/>
    <mergeCell ref="C41:E41"/>
    <mergeCell ref="H41:L41"/>
    <mergeCell ref="M41:R41"/>
    <mergeCell ref="C38:E38"/>
    <mergeCell ref="H38:L38"/>
    <mergeCell ref="M38:R38"/>
    <mergeCell ref="C39:E39"/>
    <mergeCell ref="H39:L39"/>
    <mergeCell ref="M39:R3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46:E46"/>
    <mergeCell ref="C47:E47"/>
    <mergeCell ref="H46:L46"/>
    <mergeCell ref="H47:L47"/>
    <mergeCell ref="H49:L49"/>
    <mergeCell ref="H48:L48"/>
    <mergeCell ref="C48:E48"/>
    <mergeCell ref="C49:E49"/>
    <mergeCell ref="M34:R34"/>
    <mergeCell ref="M49:R49"/>
    <mergeCell ref="H37:L37"/>
    <mergeCell ref="H34:I34"/>
    <mergeCell ref="J34:K34"/>
    <mergeCell ref="M48:R48"/>
    <mergeCell ref="M35:R35"/>
    <mergeCell ref="M36:R36"/>
    <mergeCell ref="M37:R37"/>
    <mergeCell ref="M46:R46"/>
    <mergeCell ref="M47:R47"/>
    <mergeCell ref="H50:L50"/>
    <mergeCell ref="M50:R50"/>
    <mergeCell ref="C51:E51"/>
    <mergeCell ref="H51:L51"/>
    <mergeCell ref="M51:R51"/>
    <mergeCell ref="C50:E50"/>
    <mergeCell ref="C52:E52"/>
    <mergeCell ref="H52:L52"/>
    <mergeCell ref="M52:R52"/>
    <mergeCell ref="C53:E53"/>
    <mergeCell ref="H53:L53"/>
    <mergeCell ref="M53:R53"/>
    <mergeCell ref="C54:E54"/>
    <mergeCell ref="H54:L54"/>
    <mergeCell ref="M54:R54"/>
    <mergeCell ref="C55:E55"/>
    <mergeCell ref="H55:L55"/>
    <mergeCell ref="M55:R55"/>
    <mergeCell ref="C58:E58"/>
    <mergeCell ref="H58:L58"/>
    <mergeCell ref="M58:R58"/>
    <mergeCell ref="C56:E56"/>
    <mergeCell ref="H56:L56"/>
    <mergeCell ref="M56:R56"/>
    <mergeCell ref="C57:E57"/>
    <mergeCell ref="H57:L57"/>
    <mergeCell ref="M57:R57"/>
  </mergeCells>
  <phoneticPr fontId="23" type="noConversion"/>
  <conditionalFormatting sqref="D4:E4">
    <cfRule type="cellIs" dxfId="25" priority="68" stopIfTrue="1" operator="equal">
      <formula>"C"</formula>
    </cfRule>
    <cfRule type="cellIs" dxfId="24" priority="69" stopIfTrue="1" operator="equal">
      <formula>"B2"</formula>
    </cfRule>
    <cfRule type="cellIs" dxfId="23" priority="70" stopIfTrue="1" operator="equal">
      <formula>"B1"</formula>
    </cfRule>
  </conditionalFormatting>
  <conditionalFormatting sqref="H35:H36 H38:H59">
    <cfRule type="cellIs" dxfId="22" priority="74" stopIfTrue="1" operator="between">
      <formula>0.000001</formula>
      <formula>0.599</formula>
    </cfRule>
    <cfRule type="cellIs" dxfId="21" priority="75" stopIfTrue="1" operator="between">
      <formula>0.6</formula>
      <formula>0.899</formula>
    </cfRule>
    <cfRule type="cellIs" dxfId="20" priority="7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B1:T39"/>
  <sheetViews>
    <sheetView showGridLines="0" view="pageBreakPreview" topLeftCell="A32" zoomScale="75" zoomScaleNormal="90" zoomScaleSheetLayoutView="75" workbookViewId="0">
      <selection activeCell="AM21" sqref="AM21"/>
    </sheetView>
  </sheetViews>
  <sheetFormatPr defaultRowHeight="11.25"/>
  <cols>
    <col min="1" max="1" width="1.140625" style="18" customWidth="1"/>
    <col min="2" max="2" width="19.28515625" style="18" customWidth="1"/>
    <col min="3" max="3" width="1.140625" style="18" customWidth="1"/>
    <col min="4" max="4" width="17.140625" style="18" customWidth="1"/>
    <col min="5" max="5" width="17.5703125" style="18" customWidth="1"/>
    <col min="6" max="6" width="9.7109375" style="18" customWidth="1"/>
    <col min="7" max="7" width="38.140625" style="18" customWidth="1"/>
    <col min="8" max="8" width="4.28515625" style="18" customWidth="1"/>
    <col min="9" max="9" width="15.85546875" style="18" customWidth="1"/>
    <col min="10" max="10" width="3.5703125" style="18" customWidth="1"/>
    <col min="11" max="11" width="7.5703125" style="19" customWidth="1"/>
    <col min="12" max="12" width="14.28515625" style="18" customWidth="1"/>
    <col min="13" max="13" width="12" style="18" customWidth="1"/>
    <col min="14" max="14" width="5.42578125" style="18" customWidth="1"/>
    <col min="15" max="15" width="2.5703125" style="18" customWidth="1"/>
    <col min="16" max="16384" width="9.140625" style="18"/>
  </cols>
  <sheetData>
    <row r="1" spans="2:15" ht="38.25" customHeight="1"/>
    <row r="2" spans="2:15" customFormat="1" ht="27.75" customHeight="1">
      <c r="B2" s="668" t="str">
        <f>+"Tabel Programatic de evaluare:  "&amp;"  "&amp;IF(+'Introducerea datelor'!C4="Please Select","",'Introducerea datelor'!C4&amp;" - ")&amp;IF('Introducerea datelor'!G6="Please Select","",'Introducerea datelor'!G6)</f>
        <v>Tabel Programatic de evaluare:    Moldova - HIVAIDS / TB</v>
      </c>
      <c r="C2" s="668"/>
      <c r="D2" s="668"/>
      <c r="E2" s="668"/>
      <c r="F2" s="668"/>
      <c r="G2" s="668"/>
      <c r="H2" s="668"/>
      <c r="I2" s="668"/>
      <c r="J2" s="668"/>
      <c r="K2" s="668"/>
      <c r="L2" s="668"/>
      <c r="M2" s="668"/>
      <c r="N2" s="668"/>
      <c r="O2" s="36"/>
    </row>
    <row r="3" spans="2:15" customFormat="1" ht="18.75">
      <c r="B3" s="15" t="str">
        <f>+IF('Introducerea datelor'!G8="Please Select","",'Introducerea datelor'!G8)</f>
        <v/>
      </c>
      <c r="C3" s="673" t="str">
        <f>+IF('Introducerea datelor'!I8="Please Select","",'Introducerea datelor'!I8)</f>
        <v>Period 1</v>
      </c>
      <c r="D3" s="673"/>
      <c r="E3" s="202"/>
      <c r="F3" s="202"/>
      <c r="G3" s="202"/>
      <c r="H3" s="202"/>
      <c r="I3" s="202"/>
      <c r="J3" s="202"/>
      <c r="K3" s="202"/>
      <c r="L3" s="15" t="str">
        <f>+'Introducerea datelor'!B16</f>
        <v>Perioada de Raportare:</v>
      </c>
      <c r="M3" s="99" t="str">
        <f>+'Introducerea datelor'!C16</f>
        <v>P2</v>
      </c>
      <c r="N3" s="99"/>
      <c r="O3" s="18"/>
    </row>
    <row r="4" spans="2:15" customFormat="1" ht="15">
      <c r="B4" s="15" t="str">
        <f>+'Introducerea datelor'!B12</f>
        <v>Ultimul Rating:</v>
      </c>
      <c r="C4" s="738" t="str">
        <f>+IF('Introducerea datelor'!C12="Please Select","",'Introducerea datelor'!C12)</f>
        <v>B1</v>
      </c>
      <c r="D4" s="738"/>
      <c r="E4" s="671" t="str">
        <f>+'Introducerea datelor'!C8</f>
        <v>IP UCIMP DS</v>
      </c>
      <c r="F4" s="671"/>
      <c r="G4" s="671"/>
      <c r="H4" s="671"/>
      <c r="I4" s="671"/>
      <c r="J4" s="671"/>
      <c r="K4" s="671"/>
      <c r="L4" s="15" t="str">
        <f>+'Introducerea datelor'!D16</f>
        <v>De la:</v>
      </c>
      <c r="M4" s="100">
        <f>+IF(ISBLANK('Introducerea datelor'!E16),"",'Introducerea datelor'!E16)</f>
        <v>44378</v>
      </c>
      <c r="N4" s="100"/>
      <c r="O4" s="18"/>
    </row>
    <row r="5" spans="2:15" customFormat="1" ht="18.75" customHeight="1">
      <c r="B5" s="15"/>
      <c r="C5" s="15"/>
      <c r="D5" s="84"/>
      <c r="E5" s="671" t="str">
        <f>+'Introducerea datelor'!G4</f>
        <v>Consolidarea controlului tuberculozei și reducerea SIDA și a mortalității aferente în Republica Moldova</v>
      </c>
      <c r="F5" s="671"/>
      <c r="G5" s="671"/>
      <c r="H5" s="671"/>
      <c r="I5" s="671"/>
      <c r="J5" s="671"/>
      <c r="K5" s="671"/>
      <c r="L5" s="15" t="str">
        <f>+'Introducerea datelor'!F16</f>
        <v>Pînă la:</v>
      </c>
      <c r="M5" s="100">
        <f>+IF(ISBLANK('Introducerea datelor'!G16),"",'Introducerea datelor'!G16)</f>
        <v>44561</v>
      </c>
      <c r="N5" s="100"/>
    </row>
    <row r="6" spans="2:15" customFormat="1" ht="22.5" customHeight="1">
      <c r="B6" s="14"/>
      <c r="C6" s="15"/>
      <c r="D6" s="86"/>
      <c r="E6" s="670" t="s">
        <v>385</v>
      </c>
      <c r="F6" s="670"/>
      <c r="G6" s="670"/>
      <c r="H6" s="670"/>
      <c r="I6" s="670"/>
      <c r="J6" s="670"/>
      <c r="K6" s="670"/>
    </row>
    <row r="7" spans="2:15" ht="4.5" customHeight="1">
      <c r="B7" s="89"/>
      <c r="C7" s="89"/>
      <c r="D7" s="89"/>
      <c r="E7" s="89"/>
      <c r="F7" s="89"/>
      <c r="G7" s="89"/>
      <c r="H7" s="89"/>
      <c r="I7" s="89"/>
      <c r="J7" s="89"/>
      <c r="K7" s="89"/>
      <c r="L7" s="90"/>
      <c r="M7" s="90"/>
      <c r="N7" s="91"/>
    </row>
    <row r="8" spans="2:15" ht="21" customHeight="1" thickBot="1">
      <c r="B8" s="764" t="s">
        <v>391</v>
      </c>
      <c r="C8" s="764"/>
      <c r="D8" s="764"/>
      <c r="E8" s="764"/>
      <c r="F8" s="764"/>
      <c r="G8" s="764"/>
      <c r="H8" s="764"/>
      <c r="I8" s="764"/>
      <c r="J8" s="764"/>
      <c r="K8" s="764"/>
      <c r="L8" s="764"/>
      <c r="M8" s="764"/>
      <c r="N8" s="764"/>
    </row>
    <row r="9" spans="2:15" ht="3.75" customHeight="1" thickBot="1">
      <c r="B9" s="89"/>
      <c r="C9" s="89"/>
      <c r="D9" s="89"/>
      <c r="E9" s="89"/>
      <c r="F9" s="89"/>
      <c r="G9" s="89"/>
      <c r="H9" s="89"/>
      <c r="I9" s="89"/>
      <c r="J9" s="89"/>
      <c r="K9" s="89"/>
      <c r="L9" s="90"/>
      <c r="M9" s="90"/>
      <c r="N9" s="91"/>
    </row>
    <row r="10" spans="2:15" s="20" customFormat="1" ht="25.5" customHeight="1" thickBot="1">
      <c r="B10" s="741" t="s">
        <v>386</v>
      </c>
      <c r="C10" s="742"/>
      <c r="D10" s="743" t="s">
        <v>387</v>
      </c>
      <c r="E10" s="744"/>
      <c r="F10" s="744"/>
      <c r="G10" s="745"/>
      <c r="H10" s="92"/>
      <c r="I10" s="743" t="s">
        <v>385</v>
      </c>
      <c r="J10" s="744"/>
      <c r="K10" s="744"/>
      <c r="L10" s="744"/>
      <c r="M10" s="744"/>
      <c r="N10" s="745"/>
    </row>
    <row r="11" spans="2:15" s="20" customFormat="1" ht="37.5" customHeight="1">
      <c r="B11" s="212" t="s">
        <v>56</v>
      </c>
      <c r="C11" s="213"/>
      <c r="D11" s="754" t="str">
        <f>IF(ISBLANK(Financiar!C9),"",(Financiar!C9))</f>
        <v/>
      </c>
      <c r="E11" s="754"/>
      <c r="F11" s="754"/>
      <c r="G11" s="755"/>
      <c r="H11" s="247"/>
      <c r="I11" s="746"/>
      <c r="J11" s="747"/>
      <c r="K11" s="747"/>
      <c r="L11" s="747"/>
      <c r="M11" s="747"/>
      <c r="N11" s="748"/>
    </row>
    <row r="12" spans="2:15" s="20" customFormat="1" ht="252.75" customHeight="1">
      <c r="B12" s="216" t="s">
        <v>57</v>
      </c>
      <c r="C12" s="217"/>
      <c r="D12" s="749" t="str">
        <f>IF(ISBLANK(Financiar!C23),"",(Financiar!C23))</f>
        <v xml:space="preserve">Explicația variațiilor esențiale, per module:
Modul "Servicii diferențiate de testare la HIV": (i) Amânarea, pentru trimestrul I.2022, a plăților pentru personalul medical implicat în detectarea infecțiilor HIV/ Sifilis și înrolarea în tratament, în 2021, fiind efectuate plăți doar pentru cazurile HIV+ noi identificate de ONG-uri. (ii) Economii înregistrate la procurarea testelor HIV pentru autotestare.
Modul"MDR-TB": (i) Transferul activităților de procurare de echipamente de laborator și reagenți pentru perioada trimestrelor următoare. (ii) Economii înregistrate pentru: activități finanțate prin granturi mici, pentru educare și informare; intervenții direcționate spre creșterea aderenței la tratament și prevenirea recidivelor; asigurarea suportului motivațional lunar, malul stâng; acoperirea costurilor la medicamentele pentru tratamentul DR TB.
Modul "Reducerea barierelor legate de drepturile omului, în accesarea serviciilor HIV/TB": Transferul activităților pentru perioada trimestrelor următoare.
Modul "RSSH: Sisteme de laboratoare": Economii înregistrate la: (i) procurarea echipamentului de laborator pentru LNR și LRR; (ii) participarea în programe locale/ internaționale de control al calității pentru LNR; (iii) implementarea sistemului de management al calității, în cadrul laboratoarelor de referință în bacteriologia TB.
Modul "Îngrijire și prevenire TB": Amânarea procurării medicamentelor pentru tratamentul tuberculozei latente, reieșind din stocurile existente.
Modul "COVID-19": Bugetul grantului actual a fost modificat, în conformitate cu prevederile scrisorii FG din 02.09.2021 (GF Implementation Letter Number: 4 Grant Revision, Ref.: EECA/TS/272-02/09/2021) – în perioada QIII.2021. Respectiv, o bună parte a activităților planificate au fost transferate pentru perioada QI.2022.
</v>
      </c>
      <c r="E12" s="749"/>
      <c r="F12" s="749"/>
      <c r="G12" s="750"/>
      <c r="H12" s="247"/>
      <c r="I12" s="746"/>
      <c r="J12" s="747"/>
      <c r="K12" s="747"/>
      <c r="L12" s="747"/>
      <c r="M12" s="747"/>
      <c r="N12" s="748"/>
    </row>
    <row r="13" spans="2:15" s="20" customFormat="1" ht="271.5" customHeight="1">
      <c r="B13" s="216" t="s">
        <v>58</v>
      </c>
      <c r="C13" s="217"/>
      <c r="D13" s="749" t="str">
        <f>IF(ISBLANK(Financiar!I9),"",(Financiar!I9))</f>
        <v/>
      </c>
      <c r="E13" s="749"/>
      <c r="F13" s="749"/>
      <c r="G13" s="750"/>
      <c r="H13" s="247"/>
      <c r="I13" s="746"/>
      <c r="J13" s="747"/>
      <c r="K13" s="747"/>
      <c r="L13" s="747"/>
      <c r="M13" s="747"/>
      <c r="N13" s="748"/>
    </row>
    <row r="14" spans="2:15" s="20" customFormat="1" ht="52.5" customHeight="1" thickBot="1">
      <c r="B14" s="214" t="s">
        <v>59</v>
      </c>
      <c r="C14" s="215"/>
      <c r="D14" s="756" t="str">
        <f>IF(ISBLANK(Financiar!I23),"",(Financiar!I23))</f>
        <v/>
      </c>
      <c r="E14" s="756"/>
      <c r="F14" s="756"/>
      <c r="G14" s="757"/>
      <c r="H14" s="247"/>
      <c r="I14" s="765"/>
      <c r="J14" s="766"/>
      <c r="K14" s="766"/>
      <c r="L14" s="766"/>
      <c r="M14" s="766"/>
      <c r="N14" s="767"/>
    </row>
    <row r="15" spans="2:15" s="20" customFormat="1" ht="4.5" customHeight="1">
      <c r="B15" s="96"/>
      <c r="C15" s="97"/>
      <c r="D15" s="248"/>
      <c r="E15" s="248"/>
      <c r="F15" s="248"/>
      <c r="G15" s="248"/>
      <c r="H15" s="247"/>
      <c r="I15" s="249"/>
      <c r="J15" s="249"/>
      <c r="K15" s="249"/>
      <c r="L15" s="249"/>
      <c r="M15" s="249"/>
      <c r="N15" s="249"/>
    </row>
    <row r="16" spans="2:15" ht="21" customHeight="1" thickBot="1">
      <c r="B16" s="764" t="s">
        <v>390</v>
      </c>
      <c r="C16" s="764"/>
      <c r="D16" s="764"/>
      <c r="E16" s="764"/>
      <c r="F16" s="764"/>
      <c r="G16" s="764"/>
      <c r="H16" s="764"/>
      <c r="I16" s="764"/>
      <c r="J16" s="764"/>
      <c r="K16" s="764"/>
      <c r="L16" s="764"/>
      <c r="M16" s="764"/>
      <c r="N16" s="764"/>
    </row>
    <row r="17" spans="2:20" s="20" customFormat="1" ht="3.75" customHeight="1" thickBot="1">
      <c r="B17" s="250"/>
      <c r="C17" s="94"/>
      <c r="D17" s="251"/>
      <c r="E17" s="252"/>
      <c r="F17" s="253"/>
      <c r="G17" s="253"/>
      <c r="H17" s="254"/>
      <c r="I17" s="95"/>
      <c r="J17" s="255"/>
      <c r="K17" s="256"/>
      <c r="L17" s="257"/>
      <c r="M17" s="93"/>
      <c r="N17" s="258"/>
    </row>
    <row r="18" spans="2:20" s="20" customFormat="1" ht="22.5" customHeight="1" thickBot="1">
      <c r="B18" s="739" t="s">
        <v>55</v>
      </c>
      <c r="C18" s="740"/>
      <c r="D18" s="758" t="s">
        <v>387</v>
      </c>
      <c r="E18" s="759"/>
      <c r="F18" s="759"/>
      <c r="G18" s="760"/>
      <c r="H18" s="259"/>
      <c r="I18" s="751" t="s">
        <v>385</v>
      </c>
      <c r="J18" s="752"/>
      <c r="K18" s="752"/>
      <c r="L18" s="752"/>
      <c r="M18" s="753"/>
      <c r="N18" s="753"/>
    </row>
    <row r="19" spans="2:20" s="20" customFormat="1" ht="37.5" customHeight="1">
      <c r="B19" s="218" t="s">
        <v>64</v>
      </c>
      <c r="C19" s="219"/>
      <c r="D19" s="771" t="str">
        <f>IF(ISBLANK(Management!C8),"",(Management!C8))</f>
        <v/>
      </c>
      <c r="E19" s="771"/>
      <c r="F19" s="771"/>
      <c r="G19" s="772"/>
      <c r="H19" s="247"/>
      <c r="I19" s="777"/>
      <c r="J19" s="778"/>
      <c r="K19" s="778"/>
      <c r="L19" s="778"/>
      <c r="M19" s="778"/>
      <c r="N19" s="779"/>
    </row>
    <row r="20" spans="2:20" ht="47.25" customHeight="1">
      <c r="B20" s="222" t="s">
        <v>65</v>
      </c>
      <c r="C20" s="223"/>
      <c r="D20" s="749" t="str">
        <f>IF(ISBLANK(Management!I8),"",(Management!I8))</f>
        <v>Toate posturile, în cadrul echipei ce gestionează Grantul curent, sunt ocupate.</v>
      </c>
      <c r="E20" s="749" t="e">
        <f>+'Introducerea datelor'!D79/'Introducerea datelor'!G79</f>
        <v>#DIV/0!</v>
      </c>
      <c r="F20" s="749" t="e">
        <f>+('Introducerea datelor'!E79+'Introducerea datelor'!F79)/'Introducerea datelor'!G79</f>
        <v>#DIV/0!</v>
      </c>
      <c r="G20" s="773"/>
      <c r="H20" s="247"/>
      <c r="I20" s="768"/>
      <c r="J20" s="769"/>
      <c r="K20" s="769"/>
      <c r="L20" s="769"/>
      <c r="M20" s="769"/>
      <c r="N20" s="770"/>
    </row>
    <row r="21" spans="2:20" ht="90.75" customHeight="1">
      <c r="B21" s="224" t="s">
        <v>66</v>
      </c>
      <c r="C21" s="223"/>
      <c r="D21" s="749" t="str">
        <f>IF(ISBLANK(Management!C16),"",(Management!C16))</f>
        <v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v>
      </c>
      <c r="E21" s="749"/>
      <c r="F21" s="749"/>
      <c r="G21" s="773"/>
      <c r="H21" s="247"/>
      <c r="I21" s="768"/>
      <c r="J21" s="769"/>
      <c r="K21" s="769"/>
      <c r="L21" s="769"/>
      <c r="M21" s="769"/>
      <c r="N21" s="770"/>
    </row>
    <row r="22" spans="2:20" ht="46.5" customHeight="1">
      <c r="B22" s="224" t="s">
        <v>67</v>
      </c>
      <c r="C22" s="223"/>
      <c r="D22" s="749" t="str">
        <f>IF(ISBLANK(Management!I16),"",(Management!I16))</f>
        <v>În conformitate cu condițiile contractuale, au fost recepționate rapoartele de progres trimestriale ale SR-ului (Centrul PAS), pentru Q3 2021 și Q4 2021.</v>
      </c>
      <c r="E22" s="749"/>
      <c r="F22" s="749"/>
      <c r="G22" s="773"/>
      <c r="H22" s="247"/>
      <c r="I22" s="768"/>
      <c r="J22" s="769"/>
      <c r="K22" s="769"/>
      <c r="L22" s="769"/>
      <c r="M22" s="769"/>
      <c r="N22" s="770"/>
    </row>
    <row r="23" spans="2:20" ht="43.5" customHeight="1">
      <c r="B23" s="224" t="s">
        <v>68</v>
      </c>
      <c r="C23" s="223"/>
      <c r="D23" s="749" t="str">
        <f>IF(ISBLANK(Management!C27),"",(Management!C27))</f>
        <v/>
      </c>
      <c r="E23" s="749"/>
      <c r="F23" s="749"/>
      <c r="G23" s="773"/>
      <c r="H23" s="247"/>
      <c r="I23" s="768"/>
      <c r="J23" s="769"/>
      <c r="K23" s="769"/>
      <c r="L23" s="769"/>
      <c r="M23" s="769"/>
      <c r="N23" s="770"/>
    </row>
    <row r="24" spans="2:20" ht="60" customHeight="1" thickBot="1">
      <c r="B24" s="220" t="s">
        <v>69</v>
      </c>
      <c r="C24" s="221"/>
      <c r="D24" s="762" t="str">
        <f>IF(ISBLANK(Management!I27),"",(Management!I27))</f>
        <v xml:space="preserve">Analiza stocului (Q3 a. 2021) de medicamente antituberculoase pentru tratamentul tuberculozei drogrezistente, a numărului de pacienți aflați în tratament la aceeași dată, arată prezența unui stock între 4 și 6 luni, pentru preparatele TB de bază, următoarea livrare fiind așteptată în luna decembrie 2021. </v>
      </c>
      <c r="E24" s="762"/>
      <c r="F24" s="762"/>
      <c r="G24" s="763"/>
      <c r="H24" s="247"/>
      <c r="I24" s="780"/>
      <c r="J24" s="781"/>
      <c r="K24" s="781"/>
      <c r="L24" s="781"/>
      <c r="M24" s="781"/>
      <c r="N24" s="782"/>
      <c r="T24" s="238"/>
    </row>
    <row r="25" spans="2:20" ht="4.5" customHeight="1">
      <c r="B25" s="260"/>
      <c r="C25" s="261"/>
      <c r="D25" s="262"/>
      <c r="E25" s="263"/>
      <c r="F25" s="264"/>
      <c r="G25" s="264"/>
      <c r="H25" s="259"/>
      <c r="I25" s="263"/>
      <c r="J25" s="265"/>
      <c r="K25" s="256"/>
      <c r="L25" s="257"/>
      <c r="M25" s="93"/>
      <c r="N25" s="258"/>
    </row>
    <row r="26" spans="2:20" ht="21" customHeight="1" thickBot="1">
      <c r="B26" s="764" t="s">
        <v>389</v>
      </c>
      <c r="C26" s="764"/>
      <c r="D26" s="764"/>
      <c r="E26" s="764"/>
      <c r="F26" s="764"/>
      <c r="G26" s="764"/>
      <c r="H26" s="764"/>
      <c r="I26" s="764"/>
      <c r="J26" s="764"/>
      <c r="K26" s="764"/>
      <c r="L26" s="764"/>
      <c r="M26" s="764"/>
      <c r="N26" s="764"/>
      <c r="R26" s="238"/>
    </row>
    <row r="27" spans="2:20" ht="3.75" customHeight="1" thickBot="1">
      <c r="B27" s="260"/>
      <c r="C27" s="261"/>
      <c r="D27" s="262"/>
      <c r="E27" s="263"/>
      <c r="F27" s="264"/>
      <c r="G27" s="264"/>
      <c r="H27" s="259"/>
      <c r="I27" s="263"/>
      <c r="J27" s="265"/>
      <c r="K27" s="256"/>
      <c r="L27" s="257"/>
      <c r="M27" s="93"/>
      <c r="N27" s="258"/>
    </row>
    <row r="28" spans="2:20" ht="21.75" customHeight="1" thickBot="1">
      <c r="B28" s="761" t="s">
        <v>388</v>
      </c>
      <c r="C28" s="740"/>
      <c r="D28" s="774" t="s">
        <v>387</v>
      </c>
      <c r="E28" s="775"/>
      <c r="F28" s="775"/>
      <c r="G28" s="776"/>
      <c r="H28" s="259"/>
      <c r="I28" s="774" t="s">
        <v>385</v>
      </c>
      <c r="J28" s="775"/>
      <c r="K28" s="775"/>
      <c r="L28" s="775"/>
      <c r="M28" s="775"/>
      <c r="N28" s="776"/>
    </row>
    <row r="29" spans="2:20" ht="86.25" hidden="1" customHeight="1">
      <c r="B29" s="266" t="s">
        <v>241</v>
      </c>
      <c r="C29" s="267"/>
      <c r="D29" s="793" t="str">
        <f>IF(ISBLANK(Programatic!D9),"",(Programatic!D9))</f>
        <v xml:space="preserve">Date preliminare pentru a. 2021. 192 persoane (165 MD, 27 MS) au decedat de tuberculoză în anul 2021 (4,78 decese la 100,000 persoane).        </v>
      </c>
      <c r="E29" s="794"/>
      <c r="F29" s="794"/>
      <c r="G29" s="795"/>
      <c r="H29" s="247"/>
      <c r="I29" s="787"/>
      <c r="J29" s="788"/>
      <c r="K29" s="788"/>
      <c r="L29" s="788"/>
      <c r="M29" s="788"/>
      <c r="N29" s="789"/>
    </row>
    <row r="30" spans="2:20" ht="87" hidden="1" customHeight="1">
      <c r="B30" s="268" t="s">
        <v>242</v>
      </c>
      <c r="C30" s="269"/>
      <c r="D30" s="786" t="str">
        <f>IF(ISBLANK(Programatic!H9),"",(Programatic!H9))</f>
        <v xml:space="preserve">Date preliminare pentru a. 2021. 210 (MD 160, MS 50) cazuri noi de tuberculoză cu testul pozitiv la cultură, examinate la sensibilitate pentru preparatele de linia I, din 950 cazuri investigate în anul 2021, au fost diagnosticate cu MDR.           </v>
      </c>
      <c r="E30" s="784"/>
      <c r="F30" s="784"/>
      <c r="G30" s="785"/>
      <c r="H30" s="247"/>
      <c r="I30" s="790"/>
      <c r="J30" s="791"/>
      <c r="K30" s="791"/>
      <c r="L30" s="791"/>
      <c r="M30" s="791"/>
      <c r="N30" s="792"/>
    </row>
    <row r="31" spans="2:20" ht="75" hidden="1" customHeight="1">
      <c r="B31" s="268" t="s">
        <v>243</v>
      </c>
      <c r="C31" s="269"/>
      <c r="D31" s="786" t="str">
        <f>IF(ISBLANK(Programatic!N9),"",(Programatic!N9))</f>
        <v>Indicatorul se raportează anual. Datele preliminare pentru 2021 vor fi disponibile odată cu finalizarea exercițiului de estimare SPECTRUM și validarea datelor, după data de 31 mai 2022.</v>
      </c>
      <c r="E31" s="784"/>
      <c r="F31" s="784"/>
      <c r="G31" s="785"/>
      <c r="H31" s="247"/>
      <c r="I31" s="790"/>
      <c r="J31" s="791"/>
      <c r="K31" s="791"/>
      <c r="L31" s="791"/>
      <c r="M31" s="791"/>
      <c r="N31" s="792"/>
    </row>
    <row r="32" spans="2:20" ht="94.5" customHeight="1">
      <c r="B32" s="270" t="s">
        <v>60</v>
      </c>
      <c r="C32" s="269"/>
      <c r="D32" s="783" t="str">
        <f>IF(ISBLANK(Programatic!M35),"",(Programatic!M35))</f>
        <v xml:space="preserve">Date preliminare pentru a. 2021. 192 persoane (165 MD, 27 MS) au decedat de tuberculoză în anul 2021 (4,78 decese la 100,000 persoane).        </v>
      </c>
      <c r="E32" s="784"/>
      <c r="F32" s="784"/>
      <c r="G32" s="785"/>
      <c r="H32" s="247"/>
      <c r="I32" s="790"/>
      <c r="J32" s="791"/>
      <c r="K32" s="791"/>
      <c r="L32" s="791"/>
      <c r="M32" s="791"/>
      <c r="N32" s="792"/>
    </row>
    <row r="33" spans="2:14" ht="87" customHeight="1">
      <c r="B33" s="270" t="s">
        <v>61</v>
      </c>
      <c r="C33" s="269"/>
      <c r="D33" s="783" t="str">
        <f>IF(ISBLANK(Programatic!M36),"",(Programatic!M36))</f>
        <v xml:space="preserve">Date preliminare pentru a. 2021. 210 (MD 160, MS 50) cazuri noi de tuberculoză cu testul pozitiv la cultură, examinate la sensibilitate pentru preparatele de linia I, din 950 cazuri investigate în anul 2021, au fost diagnosticate cu MDR.   </v>
      </c>
      <c r="E33" s="784"/>
      <c r="F33" s="784"/>
      <c r="G33" s="785"/>
      <c r="H33" s="247"/>
      <c r="I33" s="790"/>
      <c r="J33" s="791"/>
      <c r="K33" s="791"/>
      <c r="L33" s="791"/>
      <c r="M33" s="791"/>
      <c r="N33" s="792"/>
    </row>
    <row r="34" spans="2:14" ht="199.5" customHeight="1">
      <c r="B34" s="270" t="s">
        <v>62</v>
      </c>
      <c r="C34" s="269"/>
      <c r="D34" s="783" t="str">
        <f>IF(ISBLANK(Programatic!M37),"",(Programatic!M37))</f>
        <v>Indicatorul se raportează anual. Datele preliminare pentru 2021 vor fi disponibile odată cu finalizarea exercițiului de estimare SPECTRUM și validarea datelor, după data de 31 mai 2022.</v>
      </c>
      <c r="E34" s="784"/>
      <c r="F34" s="784"/>
      <c r="G34" s="785"/>
      <c r="H34" s="247"/>
      <c r="I34" s="790"/>
      <c r="J34" s="791"/>
      <c r="K34" s="791"/>
      <c r="L34" s="791"/>
      <c r="M34" s="791"/>
      <c r="N34" s="792"/>
    </row>
    <row r="35" spans="2:14" ht="107.25" customHeight="1">
      <c r="B35" s="270" t="s">
        <v>63</v>
      </c>
      <c r="C35" s="271"/>
      <c r="D35" s="783" t="str">
        <f>IF(ISBLANK(Programatic!M46),"",(Programatic!M46))</f>
        <v>Indicatorul se raportează anual. Datele preliminare pentru 2021 vor fi disponibile odată cu finalizarea exercițiului de estimare SPECTRUM și validarea datelor, după data de 31 mai 2022.</v>
      </c>
      <c r="E35" s="784"/>
      <c r="F35" s="784"/>
      <c r="G35" s="785"/>
      <c r="H35" s="247"/>
      <c r="I35" s="790"/>
      <c r="J35" s="791"/>
      <c r="K35" s="791"/>
      <c r="L35" s="791"/>
      <c r="M35" s="791"/>
      <c r="N35" s="792"/>
    </row>
    <row r="36" spans="2:14" ht="82.5" customHeight="1">
      <c r="B36" s="270" t="s">
        <v>70</v>
      </c>
      <c r="C36" s="271"/>
      <c r="D36" s="783" t="str">
        <f>IF(ISBLANK(Programatic!M47),"",(Programatic!M47))</f>
        <v xml:space="preserve">Date preliminare pentru a. 2021. 5,940 PTH prezintă supresie virală (&lt;1000 copii/mL), din 6,256 PTH aflate în tratament ARV cel puțin 6 luni și cu cel puțin un rezultat la testul de detectare a încărcăturii virale HIV, în registrul pacienților TARV, în perioada de raportare.     </v>
      </c>
      <c r="E36" s="784"/>
      <c r="F36" s="784"/>
      <c r="G36" s="785"/>
      <c r="H36" s="247"/>
      <c r="I36" s="790"/>
      <c r="J36" s="791"/>
      <c r="K36" s="791"/>
      <c r="L36" s="791"/>
      <c r="M36" s="791"/>
      <c r="N36" s="792"/>
    </row>
    <row r="37" spans="2:14" ht="102" customHeight="1">
      <c r="B37" s="270" t="s">
        <v>71</v>
      </c>
      <c r="C37" s="271"/>
      <c r="D37" s="783" t="str">
        <f>IF(ISBLANK(Programatic!M48),"",(Programatic!M48))</f>
        <v xml:space="preserve">Date preliminare pentru a. 2021. 2,064 (1,744 MD, 320 MS) cazuri de tuberculoză, toate formele (bacteriologic confirmate și diagnosticate clinic, cazuri noi și recidive) au fost notificate către autoritatea națională, în anul 2021.                                                                                                                                Notă - Reducerea numărului cazurilor de TB (toate formele) notificate este în directă corespundere cu scăderea incidenței TB, inclusiv în contextul pandemiei COVID-19.      </v>
      </c>
      <c r="E37" s="784"/>
      <c r="F37" s="784"/>
      <c r="G37" s="785"/>
      <c r="H37" s="247"/>
      <c r="I37" s="790"/>
      <c r="J37" s="791"/>
      <c r="K37" s="791"/>
      <c r="L37" s="791"/>
      <c r="M37" s="791"/>
      <c r="N37" s="792"/>
    </row>
    <row r="38" spans="2:14" ht="162.75" customHeight="1">
      <c r="B38" s="270" t="s">
        <v>72</v>
      </c>
      <c r="C38" s="271"/>
      <c r="D38" s="783" t="str">
        <f>IF(ISBLANK(Programatic!M49),"",(Programatic!M49))</f>
        <v xml:space="preserve">Date preliminare pentru a. 2021. 495 (378 MD, 117 MS) cazuri cu tuberculoză drog-rezistentă (RR-TB și/sau MDR-TB), confirmate bacteriologic, au fost notificate, în anul 2021, față de 872 cazuri estimate pentru perioada raportată.                                                                                                       
Notă - Reducerea numărului de pacienți cu MDR TB notificați este în directă corespundere cu scăderea incidenței TB, inclusiv în contextul pandemiei COVID-19.        </v>
      </c>
      <c r="E38" s="784"/>
      <c r="F38" s="784"/>
      <c r="G38" s="785"/>
      <c r="H38" s="247"/>
      <c r="I38" s="790"/>
      <c r="J38" s="791"/>
      <c r="K38" s="791"/>
      <c r="L38" s="791"/>
      <c r="M38" s="791"/>
      <c r="N38" s="792"/>
    </row>
    <row r="39" spans="2:14" ht="178.5" customHeight="1"/>
  </sheetData>
  <mergeCells count="58">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 ref="D32:G32"/>
    <mergeCell ref="D30:G30"/>
    <mergeCell ref="D31:G31"/>
    <mergeCell ref="D33:G33"/>
    <mergeCell ref="D20:G20"/>
    <mergeCell ref="D19:G19"/>
    <mergeCell ref="D21:G21"/>
    <mergeCell ref="D22:G22"/>
    <mergeCell ref="I28:N28"/>
    <mergeCell ref="I19:N19"/>
    <mergeCell ref="I24:N24"/>
    <mergeCell ref="I20:N20"/>
    <mergeCell ref="D23:G23"/>
    <mergeCell ref="D28:G2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B18:C18"/>
    <mergeCell ref="B10:C10"/>
    <mergeCell ref="D10:G10"/>
    <mergeCell ref="I12:N12"/>
    <mergeCell ref="D12:G12"/>
    <mergeCell ref="I11:N11"/>
    <mergeCell ref="I18:N18"/>
    <mergeCell ref="D11:G11"/>
    <mergeCell ref="D13:G13"/>
    <mergeCell ref="I13:N13"/>
    <mergeCell ref="D14:G14"/>
    <mergeCell ref="D18:G18"/>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B14" sqref="B14:E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668" t="str">
        <f>+"Tabel Programatic de Evaluare:  "&amp;"  "&amp;IF(+'Introducerea datelor'!C4="Please Select","",'Introducerea datelor'!C4&amp;" - ")&amp;IF('Introducerea datelor'!G6="Please Select","",'Introducerea datelor'!G6)</f>
        <v>Tabel Programatic de Evaluare:    Moldova - HIVAIDS / TB</v>
      </c>
      <c r="C2" s="668"/>
      <c r="D2" s="668"/>
      <c r="E2" s="668"/>
      <c r="F2" s="668"/>
      <c r="G2" s="668"/>
      <c r="H2" s="668"/>
      <c r="I2" s="668"/>
      <c r="J2" s="668"/>
      <c r="K2" s="668"/>
      <c r="L2" s="668"/>
    </row>
    <row r="3" spans="1:13">
      <c r="B3" s="15" t="str">
        <f>+IF('Introducerea datelor'!G8="Please Select","",'Introducerea datelor'!G8)</f>
        <v/>
      </c>
      <c r="C3" s="673" t="str">
        <f>+IF('Introducerea datelor'!I8="Please Select","",'Introducerea datelor'!I8)</f>
        <v>Period 1</v>
      </c>
      <c r="D3" s="673"/>
      <c r="E3" s="671"/>
      <c r="F3" s="671"/>
      <c r="G3" s="671"/>
      <c r="H3" s="671"/>
      <c r="I3" s="671"/>
      <c r="J3" s="672" t="str">
        <f>+'Introducerea datelor'!B16</f>
        <v>Perioada de Raportare:</v>
      </c>
      <c r="K3" s="672"/>
      <c r="L3" s="99" t="str">
        <f>+'Introducerea datelor'!C16</f>
        <v>P2</v>
      </c>
      <c r="M3" s="42"/>
    </row>
    <row r="4" spans="1:13">
      <c r="B4" s="15" t="str">
        <f>+'Introducerea datelor'!B12</f>
        <v>Ultimul Rating:</v>
      </c>
      <c r="C4" s="839" t="str">
        <f>+IF('Introducerea datelor'!C12="Please Select","",'Introducerea datelor'!C12)</f>
        <v>B1</v>
      </c>
      <c r="D4" s="839"/>
      <c r="E4" s="671" t="str">
        <f>+'Introducerea datelor'!C8</f>
        <v>IP UCIMP DS</v>
      </c>
      <c r="F4" s="671"/>
      <c r="G4" s="671"/>
      <c r="H4" s="671"/>
      <c r="I4" s="671"/>
      <c r="J4" s="672" t="str">
        <f>+'Introducerea datelor'!D16</f>
        <v>De la:</v>
      </c>
      <c r="K4" s="674"/>
      <c r="L4" s="100">
        <f>+IF(ISBLANK('Introducerea datelor'!E16),"",'Introducerea datelor'!E16)</f>
        <v>44378</v>
      </c>
    </row>
    <row r="5" spans="1:13" ht="18.75" customHeight="1">
      <c r="B5" s="15"/>
      <c r="C5" s="15"/>
      <c r="D5" s="671" t="str">
        <f>+'Introducerea datelor'!G4</f>
        <v>Consolidarea controlului tuberculozei și reducerea SIDA și a mortalității aferente în Republica Moldova</v>
      </c>
      <c r="E5" s="671"/>
      <c r="F5" s="671"/>
      <c r="G5" s="671"/>
      <c r="H5" s="671"/>
      <c r="I5" s="671"/>
      <c r="J5" s="671"/>
      <c r="K5" s="15" t="str">
        <f>+'Introducerea datelor'!F16</f>
        <v>Pînă la:</v>
      </c>
      <c r="L5" s="100">
        <f>+IF(ISBLANK('Introducerea datelor'!G16),"",'Introducerea datelor'!G16)</f>
        <v>44561</v>
      </c>
    </row>
    <row r="6" spans="1:13" ht="18.75">
      <c r="B6" s="14"/>
      <c r="C6" s="15"/>
      <c r="D6" s="16"/>
      <c r="E6" s="670" t="s">
        <v>392</v>
      </c>
      <c r="F6" s="670"/>
      <c r="G6" s="670"/>
      <c r="H6" s="670"/>
      <c r="I6" s="670"/>
    </row>
    <row r="7" spans="1:13" ht="18.75">
      <c r="E7" s="35"/>
      <c r="F7" s="35"/>
      <c r="G7" s="35"/>
      <c r="H7" s="35"/>
      <c r="I7" s="35"/>
    </row>
    <row r="8" spans="1:13" s="18" customFormat="1" ht="21" customHeight="1" thickBot="1">
      <c r="B8" s="38" t="s">
        <v>393</v>
      </c>
      <c r="C8" s="38"/>
      <c r="D8" s="38"/>
      <c r="E8" s="38"/>
      <c r="F8" s="38"/>
      <c r="G8" s="38"/>
      <c r="H8" s="38"/>
      <c r="I8" s="38"/>
      <c r="J8" s="38"/>
      <c r="K8" s="38"/>
      <c r="L8" s="38"/>
    </row>
    <row r="9" spans="1:13" ht="6" customHeight="1">
      <c r="B9" s="37"/>
    </row>
    <row r="10" spans="1:13" ht="18" customHeight="1">
      <c r="B10" s="843"/>
      <c r="C10" s="844"/>
      <c r="D10" s="844"/>
      <c r="E10" s="844"/>
      <c r="F10" s="844"/>
      <c r="G10" s="844"/>
      <c r="H10" s="844"/>
      <c r="I10" s="844"/>
      <c r="J10" s="844"/>
      <c r="K10" s="844"/>
      <c r="L10" s="845"/>
    </row>
    <row r="11" spans="1:13" ht="18" customHeight="1">
      <c r="B11" s="846"/>
      <c r="C11" s="847"/>
      <c r="D11" s="847"/>
      <c r="E11" s="847"/>
      <c r="F11" s="847"/>
      <c r="G11" s="847"/>
      <c r="H11" s="847"/>
      <c r="I11" s="847"/>
      <c r="J11" s="847"/>
      <c r="K11" s="847"/>
      <c r="L11" s="848"/>
    </row>
    <row r="12" spans="1:13" ht="15.75" thickBot="1"/>
    <row r="13" spans="1:13" ht="26.25" customHeight="1" thickBot="1">
      <c r="B13" s="840" t="s">
        <v>412</v>
      </c>
      <c r="C13" s="841"/>
      <c r="D13" s="841"/>
      <c r="E13" s="842"/>
      <c r="F13" s="39"/>
      <c r="G13" s="849" t="s">
        <v>394</v>
      </c>
      <c r="H13" s="822"/>
      <c r="I13" s="822"/>
      <c r="J13" s="40" t="s">
        <v>395</v>
      </c>
      <c r="K13" s="822" t="s">
        <v>396</v>
      </c>
      <c r="L13" s="823"/>
    </row>
    <row r="14" spans="1:13" ht="18.75" customHeight="1">
      <c r="A14" s="796" t="s">
        <v>397</v>
      </c>
      <c r="B14" s="836"/>
      <c r="C14" s="837"/>
      <c r="D14" s="837"/>
      <c r="E14" s="838"/>
      <c r="F14" s="22"/>
      <c r="G14" s="835"/>
      <c r="H14" s="815"/>
      <c r="I14" s="815"/>
      <c r="J14" s="815"/>
      <c r="K14" s="815"/>
      <c r="L14" s="824"/>
    </row>
    <row r="15" spans="1:13" ht="18.75" customHeight="1">
      <c r="A15" s="797"/>
      <c r="B15" s="828"/>
      <c r="C15" s="829"/>
      <c r="D15" s="829"/>
      <c r="E15" s="830"/>
      <c r="F15" s="22"/>
      <c r="G15" s="805"/>
      <c r="H15" s="806"/>
      <c r="I15" s="806"/>
      <c r="J15" s="806"/>
      <c r="K15" s="806"/>
      <c r="L15" s="816"/>
    </row>
    <row r="16" spans="1:13" ht="18.75" customHeight="1">
      <c r="A16" s="797"/>
      <c r="B16" s="825"/>
      <c r="C16" s="826"/>
      <c r="D16" s="826"/>
      <c r="E16" s="827"/>
      <c r="F16" s="22"/>
      <c r="G16" s="805"/>
      <c r="H16" s="806"/>
      <c r="I16" s="806"/>
      <c r="J16" s="806"/>
      <c r="K16" s="806"/>
      <c r="L16" s="816"/>
    </row>
    <row r="17" spans="1:12" ht="18.75" customHeight="1">
      <c r="A17" s="797"/>
      <c r="B17" s="828"/>
      <c r="C17" s="829"/>
      <c r="D17" s="829"/>
      <c r="E17" s="830"/>
      <c r="F17" s="22"/>
      <c r="G17" s="805"/>
      <c r="H17" s="806"/>
      <c r="I17" s="806"/>
      <c r="J17" s="806"/>
      <c r="K17" s="806"/>
      <c r="L17" s="816"/>
    </row>
    <row r="18" spans="1:12" ht="18.75" customHeight="1">
      <c r="A18" s="797"/>
      <c r="B18" s="825"/>
      <c r="C18" s="826"/>
      <c r="D18" s="826"/>
      <c r="E18" s="827"/>
      <c r="F18" s="22"/>
      <c r="G18" s="817"/>
      <c r="H18" s="818"/>
      <c r="I18" s="819"/>
      <c r="J18" s="806"/>
      <c r="K18" s="806"/>
      <c r="L18" s="816"/>
    </row>
    <row r="19" spans="1:12" ht="18.75" customHeight="1">
      <c r="A19" s="797"/>
      <c r="B19" s="828"/>
      <c r="C19" s="829"/>
      <c r="D19" s="829"/>
      <c r="E19" s="830"/>
      <c r="F19" s="22"/>
      <c r="G19" s="812"/>
      <c r="H19" s="813"/>
      <c r="I19" s="820"/>
      <c r="J19" s="806"/>
      <c r="K19" s="806"/>
      <c r="L19" s="816"/>
    </row>
    <row r="20" spans="1:12" ht="18.75" customHeight="1">
      <c r="A20" s="797"/>
      <c r="B20" s="831"/>
      <c r="C20" s="831"/>
      <c r="D20" s="831"/>
      <c r="E20" s="832"/>
      <c r="F20" s="22"/>
      <c r="G20" s="805"/>
      <c r="H20" s="806"/>
      <c r="I20" s="806"/>
      <c r="J20" s="806"/>
      <c r="K20" s="806"/>
      <c r="L20" s="816"/>
    </row>
    <row r="21" spans="1:12" ht="18.75" customHeight="1">
      <c r="A21" s="797"/>
      <c r="B21" s="831"/>
      <c r="C21" s="831"/>
      <c r="D21" s="831"/>
      <c r="E21" s="832"/>
      <c r="F21" s="22"/>
      <c r="G21" s="805"/>
      <c r="H21" s="806"/>
      <c r="I21" s="806"/>
      <c r="J21" s="806"/>
      <c r="K21" s="806"/>
      <c r="L21" s="816"/>
    </row>
    <row r="22" spans="1:12" ht="18.75" customHeight="1">
      <c r="A22" s="797"/>
      <c r="B22" s="831"/>
      <c r="C22" s="831"/>
      <c r="D22" s="831"/>
      <c r="E22" s="832"/>
      <c r="F22" s="22"/>
      <c r="G22" s="805"/>
      <c r="H22" s="806"/>
      <c r="I22" s="806"/>
      <c r="J22" s="806"/>
      <c r="K22" s="806"/>
      <c r="L22" s="816"/>
    </row>
    <row r="23" spans="1:12" ht="18.75" customHeight="1">
      <c r="A23" s="797"/>
      <c r="B23" s="831"/>
      <c r="C23" s="831"/>
      <c r="D23" s="831"/>
      <c r="E23" s="832"/>
      <c r="F23" s="22"/>
      <c r="G23" s="805"/>
      <c r="H23" s="806"/>
      <c r="I23" s="806"/>
      <c r="J23" s="806"/>
      <c r="K23" s="806"/>
      <c r="L23" s="816"/>
    </row>
    <row r="24" spans="1:12" ht="18.75" customHeight="1">
      <c r="A24" s="797"/>
      <c r="B24" s="831"/>
      <c r="C24" s="831"/>
      <c r="D24" s="831"/>
      <c r="E24" s="832"/>
      <c r="F24" s="22"/>
      <c r="G24" s="805"/>
      <c r="H24" s="806"/>
      <c r="I24" s="806"/>
      <c r="J24" s="806"/>
      <c r="K24" s="806"/>
      <c r="L24" s="816"/>
    </row>
    <row r="25" spans="1:12" ht="18.75" customHeight="1" thickBot="1">
      <c r="A25" s="798"/>
      <c r="B25" s="833"/>
      <c r="C25" s="833"/>
      <c r="D25" s="833"/>
      <c r="E25" s="834"/>
      <c r="F25" s="22"/>
      <c r="G25" s="807"/>
      <c r="H25" s="808"/>
      <c r="I25" s="808"/>
      <c r="J25" s="808"/>
      <c r="K25" s="808"/>
      <c r="L25" s="821"/>
    </row>
    <row r="27" spans="1:12" ht="18.75">
      <c r="E27" s="850" t="s">
        <v>398</v>
      </c>
      <c r="F27" s="850"/>
      <c r="G27" s="850"/>
      <c r="H27" s="850"/>
      <c r="I27" s="850"/>
    </row>
    <row r="28" spans="1:12" ht="6" customHeight="1">
      <c r="E28" s="35"/>
      <c r="F28" s="35"/>
      <c r="G28" s="35"/>
      <c r="H28" s="35"/>
      <c r="I28" s="35"/>
    </row>
    <row r="29" spans="1:12" s="18" customFormat="1" ht="21" customHeight="1" thickBot="1">
      <c r="B29" s="38" t="s">
        <v>399</v>
      </c>
      <c r="C29" s="38"/>
      <c r="D29" s="38"/>
      <c r="E29" s="38"/>
      <c r="F29" s="38"/>
      <c r="G29" s="38"/>
      <c r="H29" s="38"/>
      <c r="I29" s="38"/>
      <c r="J29" s="38"/>
      <c r="K29" s="38"/>
      <c r="L29" s="38"/>
    </row>
    <row r="30" spans="1:12" ht="6" customHeight="1" thickBot="1">
      <c r="B30" s="37"/>
    </row>
    <row r="31" spans="1:12" ht="38.25" customHeight="1" thickBot="1">
      <c r="B31" s="840" t="s">
        <v>394</v>
      </c>
      <c r="C31" s="841"/>
      <c r="D31" s="841"/>
      <c r="E31" s="842"/>
      <c r="F31" s="39"/>
      <c r="G31" s="849" t="s">
        <v>400</v>
      </c>
      <c r="H31" s="822"/>
      <c r="I31" s="822"/>
      <c r="J31" s="40" t="s">
        <v>401</v>
      </c>
      <c r="K31" s="822" t="s">
        <v>396</v>
      </c>
      <c r="L31" s="823"/>
    </row>
    <row r="32" spans="1:12" ht="16.5" customHeight="1">
      <c r="A32" s="796" t="s">
        <v>402</v>
      </c>
      <c r="B32" s="809"/>
      <c r="C32" s="810"/>
      <c r="D32" s="810"/>
      <c r="E32" s="811"/>
      <c r="F32" s="22"/>
      <c r="G32" s="835"/>
      <c r="H32" s="815"/>
      <c r="I32" s="815"/>
      <c r="J32" s="815"/>
      <c r="K32" s="815"/>
      <c r="L32" s="824"/>
    </row>
    <row r="33" spans="1:12" ht="16.5" customHeight="1">
      <c r="A33" s="797"/>
      <c r="B33" s="812"/>
      <c r="C33" s="813"/>
      <c r="D33" s="813"/>
      <c r="E33" s="814"/>
      <c r="F33" s="22"/>
      <c r="G33" s="805"/>
      <c r="H33" s="806"/>
      <c r="I33" s="806"/>
      <c r="J33" s="806"/>
      <c r="K33" s="806"/>
      <c r="L33" s="816"/>
    </row>
    <row r="34" spans="1:12" ht="16.5" customHeight="1">
      <c r="A34" s="797"/>
      <c r="B34" s="799" t="str">
        <f>IF(Recomandari!I39="","",Recomandari!I39)</f>
        <v/>
      </c>
      <c r="C34" s="800"/>
      <c r="D34" s="800"/>
      <c r="E34" s="801"/>
      <c r="F34" s="22"/>
      <c r="G34" s="805"/>
      <c r="H34" s="806"/>
      <c r="I34" s="806"/>
      <c r="J34" s="806"/>
      <c r="K34" s="806"/>
      <c r="L34" s="816"/>
    </row>
    <row r="35" spans="1:12" ht="16.5" customHeight="1">
      <c r="A35" s="797"/>
      <c r="B35" s="799"/>
      <c r="C35" s="800"/>
      <c r="D35" s="800"/>
      <c r="E35" s="801"/>
      <c r="F35" s="22"/>
      <c r="G35" s="805"/>
      <c r="H35" s="806"/>
      <c r="I35" s="806"/>
      <c r="J35" s="806"/>
      <c r="K35" s="806"/>
      <c r="L35" s="816"/>
    </row>
    <row r="36" spans="1:12" ht="16.5" customHeight="1">
      <c r="A36" s="797"/>
      <c r="B36" s="799" t="str">
        <f>+IF(Recomandari!I49="","",Recomandari!I49)</f>
        <v/>
      </c>
      <c r="C36" s="800"/>
      <c r="D36" s="800"/>
      <c r="E36" s="801"/>
      <c r="F36" s="22"/>
      <c r="G36" s="805"/>
      <c r="H36" s="806"/>
      <c r="I36" s="806"/>
      <c r="J36" s="806"/>
      <c r="K36" s="806"/>
      <c r="L36" s="816"/>
    </row>
    <row r="37" spans="1:12" ht="16.5" customHeight="1">
      <c r="A37" s="797"/>
      <c r="B37" s="799"/>
      <c r="C37" s="800"/>
      <c r="D37" s="800"/>
      <c r="E37" s="801"/>
      <c r="F37" s="22"/>
      <c r="G37" s="805"/>
      <c r="H37" s="806"/>
      <c r="I37" s="806"/>
      <c r="J37" s="806"/>
      <c r="K37" s="806"/>
      <c r="L37" s="816"/>
    </row>
    <row r="38" spans="1:12" ht="16.5" customHeight="1">
      <c r="A38" s="797"/>
      <c r="B38" s="799"/>
      <c r="C38" s="800"/>
      <c r="D38" s="800"/>
      <c r="E38" s="801"/>
      <c r="F38" s="22"/>
      <c r="G38" s="805"/>
      <c r="H38" s="806"/>
      <c r="I38" s="806"/>
      <c r="J38" s="806"/>
      <c r="K38" s="806"/>
      <c r="L38" s="816"/>
    </row>
    <row r="39" spans="1:12" ht="16.5" customHeight="1">
      <c r="A39" s="797"/>
      <c r="B39" s="799"/>
      <c r="C39" s="800"/>
      <c r="D39" s="800"/>
      <c r="E39" s="801"/>
      <c r="F39" s="22"/>
      <c r="G39" s="805"/>
      <c r="H39" s="806"/>
      <c r="I39" s="806"/>
      <c r="J39" s="806"/>
      <c r="K39" s="806"/>
      <c r="L39" s="816"/>
    </row>
    <row r="40" spans="1:12" ht="16.5" customHeight="1">
      <c r="A40" s="797"/>
      <c r="B40" s="799"/>
      <c r="C40" s="800"/>
      <c r="D40" s="800"/>
      <c r="E40" s="801"/>
      <c r="F40" s="22"/>
      <c r="G40" s="805"/>
      <c r="H40" s="806"/>
      <c r="I40" s="806"/>
      <c r="J40" s="806"/>
      <c r="K40" s="806"/>
      <c r="L40" s="816"/>
    </row>
    <row r="41" spans="1:12" ht="16.5" customHeight="1">
      <c r="A41" s="797"/>
      <c r="B41" s="799"/>
      <c r="C41" s="800"/>
      <c r="D41" s="800"/>
      <c r="E41" s="801"/>
      <c r="F41" s="22"/>
      <c r="G41" s="805"/>
      <c r="H41" s="806"/>
      <c r="I41" s="806"/>
      <c r="J41" s="806"/>
      <c r="K41" s="806"/>
      <c r="L41" s="816"/>
    </row>
    <row r="42" spans="1:12" ht="16.5" customHeight="1">
      <c r="A42" s="797"/>
      <c r="B42" s="799"/>
      <c r="C42" s="800"/>
      <c r="D42" s="800"/>
      <c r="E42" s="801"/>
      <c r="F42" s="22"/>
      <c r="G42" s="805"/>
      <c r="H42" s="806"/>
      <c r="I42" s="806"/>
      <c r="J42" s="806"/>
      <c r="K42" s="806"/>
      <c r="L42" s="816"/>
    </row>
    <row r="43" spans="1:12" ht="16.5" customHeight="1" thickBot="1">
      <c r="A43" s="798"/>
      <c r="B43" s="802"/>
      <c r="C43" s="803"/>
      <c r="D43" s="803"/>
      <c r="E43" s="804"/>
      <c r="F43" s="22"/>
      <c r="G43" s="807"/>
      <c r="H43" s="808"/>
      <c r="I43" s="808"/>
      <c r="J43" s="808"/>
      <c r="K43" s="808"/>
      <c r="L43" s="821"/>
    </row>
  </sheetData>
  <mergeCells count="67">
    <mergeCell ref="B10:L11"/>
    <mergeCell ref="K13:L13"/>
    <mergeCell ref="G13:I13"/>
    <mergeCell ref="G24:I25"/>
    <mergeCell ref="G31:I31"/>
    <mergeCell ref="J24:J25"/>
    <mergeCell ref="E27:I27"/>
    <mergeCell ref="B31:E31"/>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32:A43"/>
    <mergeCell ref="B42:E43"/>
    <mergeCell ref="G42:I43"/>
    <mergeCell ref="G38:I39"/>
    <mergeCell ref="B38:E39"/>
    <mergeCell ref="B40:E41"/>
    <mergeCell ref="B34:E35"/>
    <mergeCell ref="G34:I35"/>
    <mergeCell ref="B36:E37"/>
    <mergeCell ref="G36:I37"/>
    <mergeCell ref="B32:E33"/>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Indicatori</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2022-09-02T12:26:02Z</dcterms:modified>
</cp:coreProperties>
</file>