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192.168.1.150\Contracte_soferi\Dashboard\sem I 2019\"/>
    </mc:Choice>
  </mc:AlternateContent>
  <xr:revisionPtr revIDLastSave="0" documentId="13_ncr:1_{B1905A92-D819-4CA6-B333-039F4A12BAD4}" xr6:coauthVersionLast="44" xr6:coauthVersionMax="44" xr10:uidLastSave="{00000000-0000-0000-0000-000000000000}"/>
  <workbookProtection lockStructure="1"/>
  <bookViews>
    <workbookView xWindow="-120" yWindow="-120" windowWidth="29040" windowHeight="15840" tabRatio="765" activeTab="1" xr2:uid="{00000000-000D-0000-FFFF-FFFF00000000}"/>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r:id="rId10"/>
    <sheet name="Sheet1" sheetId="46" r:id="rId11"/>
  </sheets>
  <definedNames>
    <definedName name="Component">Setup!$B$9:$B$14</definedName>
    <definedName name="Countries">Setup!$L$9:$L$143</definedName>
    <definedName name="Currency">Setup!$C$9:$C$11</definedName>
    <definedName name="Indicatori">'Introducerea datelor'!$G$118:$S$166</definedName>
    <definedName name="LFA">Setup!$J$9:$J$22</definedName>
    <definedName name="Medicaments">Setup!$K$9:$K$30</definedName>
    <definedName name="PERIOD">Setup!$F$9:$F$21</definedName>
    <definedName name="Phase">Setup!$E$9:$E$13</definedName>
    <definedName name="_xlnm.Print_Area" localSheetId="8">Actiuni!$A$1:$L$43</definedName>
    <definedName name="_xlnm.Print_Area" localSheetId="5">Financiar!$A$2:$K$34</definedName>
    <definedName name="_xlnm.Print_Area" localSheetId="2">'Introducerea datelor'!$A$1:$O$175</definedName>
    <definedName name="_xlnm.Print_Area" localSheetId="4">Management!$A$2:$L$34</definedName>
    <definedName name="_xlnm.Print_Area" localSheetId="6">Programatic!$B$1:$R$49</definedName>
    <definedName name="PrintA">Actiuni!$A$2:$L$34</definedName>
    <definedName name="PrintDataF">'Introducerea datelor'!$B$25:$J$67</definedName>
    <definedName name="PrintDataM">'Introducerea datelor'!$B$69:$H$113</definedName>
    <definedName name="PrintF">Financiar!$A$2:$K$31</definedName>
    <definedName name="PrintGD">'Detail despre Grant'!$A$2:$J$13</definedName>
    <definedName name="PrintM" localSheetId="8">Actiuni!$A$2:$L$6</definedName>
    <definedName name="PrintM">Management!$A$2:$L$36</definedName>
    <definedName name="PrintP">Programatic!$B$2:$Q$50</definedName>
    <definedName name="PrintR">Recomandari!$A$2:$N$38</definedName>
    <definedName name="Rating">Setup!$I$9:$I$14</definedName>
    <definedName name="Round">Setup!$D$9:$D$21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2" i="29" l="1"/>
  <c r="E101" i="29"/>
  <c r="E100" i="29"/>
  <c r="D102" i="29"/>
  <c r="D101" i="29"/>
  <c r="D100" i="29"/>
  <c r="E16" i="29" l="1"/>
  <c r="C102" i="29"/>
  <c r="C101" i="29"/>
  <c r="C100" i="29"/>
  <c r="C34" i="29"/>
  <c r="D34" i="29"/>
  <c r="C33" i="29"/>
  <c r="D33" i="29"/>
  <c r="H33" i="29"/>
  <c r="R34" i="29" s="1"/>
  <c r="E33" i="29"/>
  <c r="R31" i="29" s="1"/>
  <c r="F33" i="29"/>
  <c r="G33" i="29"/>
  <c r="E34" i="29"/>
  <c r="F34" i="29"/>
  <c r="G34" i="29"/>
  <c r="U36" i="37"/>
  <c r="B36" i="37"/>
  <c r="B37" i="37"/>
  <c r="B38" i="37"/>
  <c r="B39" i="37"/>
  <c r="B40" i="37"/>
  <c r="B41" i="37"/>
  <c r="B42" i="37"/>
  <c r="B43" i="37"/>
  <c r="B44" i="37"/>
  <c r="B45" i="37"/>
  <c r="B46" i="37"/>
  <c r="B47" i="37"/>
  <c r="B48" i="37"/>
  <c r="B49" i="37"/>
  <c r="B50" i="37"/>
  <c r="B51" i="37"/>
  <c r="B52" i="37"/>
  <c r="B53" i="37"/>
  <c r="B54" i="37"/>
  <c r="B55" i="37"/>
  <c r="B56" i="37"/>
  <c r="B57" i="37"/>
  <c r="B58" i="37"/>
  <c r="B35" i="37"/>
  <c r="C36" i="37"/>
  <c r="C37" i="37"/>
  <c r="C38" i="37"/>
  <c r="C39" i="37"/>
  <c r="C40" i="37"/>
  <c r="C41" i="37"/>
  <c r="C42" i="37"/>
  <c r="C43" i="37"/>
  <c r="C44" i="37"/>
  <c r="C45" i="37"/>
  <c r="C46" i="37"/>
  <c r="C47" i="37"/>
  <c r="C48" i="37"/>
  <c r="C49" i="37"/>
  <c r="C50" i="37"/>
  <c r="C51" i="37"/>
  <c r="C52" i="37"/>
  <c r="C53" i="37"/>
  <c r="C54" i="37"/>
  <c r="C55" i="37"/>
  <c r="C56" i="37"/>
  <c r="C57" i="37"/>
  <c r="C58" i="37"/>
  <c r="C35" i="37"/>
  <c r="C46" i="45"/>
  <c r="D46" i="45"/>
  <c r="E46" i="45"/>
  <c r="F46" i="45"/>
  <c r="F121" i="29"/>
  <c r="F123" i="29"/>
  <c r="F125" i="29"/>
  <c r="F127" i="29"/>
  <c r="F129" i="29"/>
  <c r="F131" i="29"/>
  <c r="F133" i="29"/>
  <c r="F135" i="29"/>
  <c r="F137" i="29"/>
  <c r="F139" i="29"/>
  <c r="F141" i="29"/>
  <c r="F143" i="29"/>
  <c r="F145" i="29"/>
  <c r="F147" i="29"/>
  <c r="F149" i="29"/>
  <c r="F151" i="29"/>
  <c r="F153" i="29"/>
  <c r="F155" i="29"/>
  <c r="F157" i="29"/>
  <c r="F159" i="29"/>
  <c r="F161" i="29"/>
  <c r="F163" i="29"/>
  <c r="F165" i="29"/>
  <c r="F119" i="29"/>
  <c r="D42" i="45"/>
  <c r="E42" i="45"/>
  <c r="F42" i="45"/>
  <c r="C42" i="45"/>
  <c r="E34" i="45"/>
  <c r="F34" i="45"/>
  <c r="E35" i="45"/>
  <c r="F35" i="45"/>
  <c r="E36" i="45"/>
  <c r="F36" i="45"/>
  <c r="E37" i="45"/>
  <c r="F37" i="45"/>
  <c r="E38" i="45"/>
  <c r="F38" i="45"/>
  <c r="E39" i="45"/>
  <c r="F39" i="45"/>
  <c r="E40" i="45"/>
  <c r="F40" i="45"/>
  <c r="E41" i="45"/>
  <c r="F41" i="45"/>
  <c r="E43" i="45"/>
  <c r="F43" i="45"/>
  <c r="E44" i="45"/>
  <c r="F44" i="45"/>
  <c r="E45" i="45"/>
  <c r="F45" i="45"/>
  <c r="E47" i="45"/>
  <c r="F47" i="45"/>
  <c r="E48" i="45"/>
  <c r="F48" i="45"/>
  <c r="E49" i="45"/>
  <c r="F49" i="45"/>
  <c r="E50" i="45"/>
  <c r="F50" i="45"/>
  <c r="E51" i="45"/>
  <c r="F51" i="45"/>
  <c r="E52" i="45"/>
  <c r="F52" i="45"/>
  <c r="E53" i="45"/>
  <c r="F53" i="45"/>
  <c r="E54" i="45"/>
  <c r="F54" i="45"/>
  <c r="E55" i="45"/>
  <c r="F55" i="45"/>
  <c r="E56" i="45"/>
  <c r="F56" i="45"/>
  <c r="E57" i="45"/>
  <c r="F57" i="45"/>
  <c r="E58" i="45"/>
  <c r="F58" i="45"/>
  <c r="D34" i="45"/>
  <c r="D35" i="45"/>
  <c r="D36" i="45"/>
  <c r="D37" i="45"/>
  <c r="D38" i="45"/>
  <c r="D39" i="45"/>
  <c r="D40" i="45"/>
  <c r="D41" i="45"/>
  <c r="D43" i="45"/>
  <c r="D44" i="45"/>
  <c r="D45" i="45"/>
  <c r="D47" i="45"/>
  <c r="D48" i="45"/>
  <c r="D49" i="45"/>
  <c r="D50" i="45"/>
  <c r="D51" i="45"/>
  <c r="D52" i="45"/>
  <c r="D53" i="45"/>
  <c r="D54" i="45"/>
  <c r="D55" i="45"/>
  <c r="D56" i="45"/>
  <c r="D57" i="45"/>
  <c r="D58" i="45"/>
  <c r="F33" i="45"/>
  <c r="E33" i="45"/>
  <c r="D33" i="45"/>
  <c r="C33" i="45"/>
  <c r="C34" i="45"/>
  <c r="C35" i="45"/>
  <c r="C36" i="45"/>
  <c r="C37" i="45"/>
  <c r="C38" i="45"/>
  <c r="C39" i="45"/>
  <c r="C40" i="45"/>
  <c r="C41" i="45"/>
  <c r="C43" i="45"/>
  <c r="C44" i="45"/>
  <c r="C45" i="45"/>
  <c r="C47" i="45"/>
  <c r="C48" i="45"/>
  <c r="C49" i="45"/>
  <c r="C50" i="45"/>
  <c r="C51" i="45"/>
  <c r="C52" i="45"/>
  <c r="C53" i="45"/>
  <c r="C54" i="45"/>
  <c r="C55" i="45"/>
  <c r="C56" i="45"/>
  <c r="C57" i="45"/>
  <c r="C58" i="45"/>
  <c r="E121" i="29"/>
  <c r="E123" i="29"/>
  <c r="E125" i="29"/>
  <c r="E127" i="29"/>
  <c r="E129" i="29"/>
  <c r="E131" i="29"/>
  <c r="E133" i="29"/>
  <c r="E135" i="29"/>
  <c r="E137" i="29"/>
  <c r="E139" i="29"/>
  <c r="E141" i="29"/>
  <c r="E143" i="29"/>
  <c r="E145" i="29"/>
  <c r="E147" i="29"/>
  <c r="E149" i="29"/>
  <c r="E151" i="29"/>
  <c r="E153" i="29"/>
  <c r="E155" i="29"/>
  <c r="E157" i="29"/>
  <c r="E159" i="29"/>
  <c r="E161" i="29"/>
  <c r="E163" i="29"/>
  <c r="E165" i="29"/>
  <c r="E119" i="29"/>
  <c r="B165" i="29"/>
  <c r="B163" i="29"/>
  <c r="B161" i="29"/>
  <c r="B159" i="29"/>
  <c r="B157" i="29"/>
  <c r="B155" i="29"/>
  <c r="B153" i="29"/>
  <c r="B151" i="29"/>
  <c r="B149" i="29"/>
  <c r="B147" i="29"/>
  <c r="B145" i="29"/>
  <c r="B143" i="29"/>
  <c r="B141" i="29"/>
  <c r="B139" i="29"/>
  <c r="B137" i="29"/>
  <c r="B135" i="29"/>
  <c r="B133" i="29"/>
  <c r="B121" i="29"/>
  <c r="B123" i="29"/>
  <c r="B125" i="29"/>
  <c r="B127" i="29"/>
  <c r="B129" i="29"/>
  <c r="N19" i="37"/>
  <c r="B131" i="29"/>
  <c r="B119" i="29"/>
  <c r="D19" i="37"/>
  <c r="H19" i="37"/>
  <c r="G16" i="29"/>
  <c r="F40" i="29"/>
  <c r="F41" i="29"/>
  <c r="F42" i="29"/>
  <c r="F43" i="29"/>
  <c r="F44" i="29"/>
  <c r="F45" i="29"/>
  <c r="F46" i="29"/>
  <c r="F47" i="29"/>
  <c r="F48" i="29"/>
  <c r="F39" i="29"/>
  <c r="E42" i="29"/>
  <c r="E43" i="29"/>
  <c r="E44" i="29"/>
  <c r="K27" i="30"/>
  <c r="J27" i="30"/>
  <c r="E40" i="29"/>
  <c r="E41" i="29"/>
  <c r="E45" i="29"/>
  <c r="E47" i="29"/>
  <c r="E39" i="29"/>
  <c r="I174" i="29"/>
  <c r="J174" i="29"/>
  <c r="K174" i="29"/>
  <c r="L174" i="29"/>
  <c r="I175" i="29"/>
  <c r="J175" i="29"/>
  <c r="K175" i="29"/>
  <c r="L175" i="29"/>
  <c r="I171" i="29"/>
  <c r="J171" i="29"/>
  <c r="K171" i="29"/>
  <c r="L171" i="29"/>
  <c r="I172" i="29"/>
  <c r="J172" i="29"/>
  <c r="K172" i="29"/>
  <c r="L172" i="29"/>
  <c r="I173" i="29"/>
  <c r="J173" i="29"/>
  <c r="K173" i="29"/>
  <c r="L173" i="29"/>
  <c r="H171" i="29"/>
  <c r="H172" i="29"/>
  <c r="H173" i="29"/>
  <c r="H174" i="29"/>
  <c r="H175" i="29"/>
  <c r="L170" i="29"/>
  <c r="I170" i="29"/>
  <c r="J170" i="29"/>
  <c r="K170" i="29"/>
  <c r="G13" i="27"/>
  <c r="B174" i="29"/>
  <c r="E174" i="29"/>
  <c r="F174" i="29"/>
  <c r="M174" i="29"/>
  <c r="N174" i="29"/>
  <c r="O174" i="29"/>
  <c r="P174" i="29"/>
  <c r="Q174" i="29"/>
  <c r="R174" i="29"/>
  <c r="S174" i="29"/>
  <c r="M175" i="29"/>
  <c r="N175" i="29"/>
  <c r="O175" i="29"/>
  <c r="P175" i="29"/>
  <c r="Q175" i="29"/>
  <c r="R175" i="29"/>
  <c r="S175" i="29"/>
  <c r="C49" i="29"/>
  <c r="D49" i="29"/>
  <c r="E54" i="29"/>
  <c r="E57" i="29"/>
  <c r="E56" i="29"/>
  <c r="N34" i="29"/>
  <c r="M34" i="29"/>
  <c r="L34" i="29"/>
  <c r="K34" i="29"/>
  <c r="O31" i="29" s="1"/>
  <c r="J34" i="29"/>
  <c r="I34" i="29"/>
  <c r="H34" i="29"/>
  <c r="N33" i="29"/>
  <c r="N35" i="29" s="1"/>
  <c r="M33" i="29"/>
  <c r="L33" i="29"/>
  <c r="K33" i="29"/>
  <c r="R52" i="29" s="1"/>
  <c r="J33" i="29"/>
  <c r="J35" i="29" s="1"/>
  <c r="I33" i="29"/>
  <c r="I35" i="29" s="1"/>
  <c r="E81" i="29"/>
  <c r="H170" i="29"/>
  <c r="D30" i="42"/>
  <c r="D37" i="42"/>
  <c r="R30" i="29"/>
  <c r="Q172" i="29"/>
  <c r="R172" i="29"/>
  <c r="Q173" i="29"/>
  <c r="R173" i="29"/>
  <c r="M172" i="29"/>
  <c r="N172" i="29"/>
  <c r="O172" i="29"/>
  <c r="P172" i="29"/>
  <c r="M173" i="29"/>
  <c r="N173" i="29"/>
  <c r="O173" i="29"/>
  <c r="P173" i="29"/>
  <c r="N8" i="37"/>
  <c r="B2" i="39"/>
  <c r="B2" i="42"/>
  <c r="C2" i="37"/>
  <c r="B2" i="35"/>
  <c r="B2" i="30"/>
  <c r="C2" i="45"/>
  <c r="B3" i="27"/>
  <c r="B2" i="1"/>
  <c r="I9" i="27"/>
  <c r="E53" i="29"/>
  <c r="C38" i="29"/>
  <c r="D38" i="29"/>
  <c r="B32" i="29"/>
  <c r="B31" i="29"/>
  <c r="D29" i="42"/>
  <c r="C22" i="45"/>
  <c r="K5" i="30"/>
  <c r="K4" i="30"/>
  <c r="L5" i="35"/>
  <c r="L4" i="35"/>
  <c r="R5" i="37"/>
  <c r="R4" i="37"/>
  <c r="M5" i="42"/>
  <c r="M4" i="42"/>
  <c r="L5" i="39"/>
  <c r="L4" i="39"/>
  <c r="C4" i="39"/>
  <c r="C3" i="39"/>
  <c r="B3" i="39"/>
  <c r="C4" i="42"/>
  <c r="C3" i="42"/>
  <c r="B3" i="42"/>
  <c r="D4" i="37"/>
  <c r="D3" i="37"/>
  <c r="C3" i="37"/>
  <c r="C4" i="35"/>
  <c r="C3" i="35"/>
  <c r="B3" i="35"/>
  <c r="C4" i="30"/>
  <c r="C3" i="30"/>
  <c r="B3" i="30"/>
  <c r="G9" i="27"/>
  <c r="G11" i="27"/>
  <c r="D11" i="27"/>
  <c r="B12" i="27"/>
  <c r="I11" i="27"/>
  <c r="D10" i="27"/>
  <c r="B10" i="27"/>
  <c r="B9" i="27"/>
  <c r="B6" i="27"/>
  <c r="B4" i="1"/>
  <c r="E92" i="29"/>
  <c r="E91" i="29"/>
  <c r="D11" i="42"/>
  <c r="J3" i="35"/>
  <c r="L3" i="35"/>
  <c r="I3" i="30"/>
  <c r="K3" i="30"/>
  <c r="D33" i="42"/>
  <c r="D34" i="42"/>
  <c r="D35" i="42"/>
  <c r="D36" i="42"/>
  <c r="D38" i="42"/>
  <c r="D32" i="42"/>
  <c r="D31" i="42"/>
  <c r="E111" i="29"/>
  <c r="G111" i="29"/>
  <c r="I111" i="29"/>
  <c r="E110" i="29"/>
  <c r="G110" i="29"/>
  <c r="I110" i="29"/>
  <c r="E112" i="29"/>
  <c r="G112" i="29"/>
  <c r="I112" i="29"/>
  <c r="E113" i="29"/>
  <c r="G113" i="29"/>
  <c r="I113" i="29"/>
  <c r="K30" i="35"/>
  <c r="K31" i="35"/>
  <c r="K32" i="35"/>
  <c r="K33" i="35"/>
  <c r="M171" i="29"/>
  <c r="N171" i="29"/>
  <c r="O171" i="29"/>
  <c r="P171" i="29"/>
  <c r="Q171" i="29"/>
  <c r="R171" i="29"/>
  <c r="S171" i="29"/>
  <c r="S172" i="29"/>
  <c r="S173" i="29"/>
  <c r="M170" i="29"/>
  <c r="N170" i="29"/>
  <c r="O170" i="29"/>
  <c r="P170" i="29"/>
  <c r="Q170" i="29"/>
  <c r="R170" i="29"/>
  <c r="S170" i="29"/>
  <c r="F172" i="29"/>
  <c r="F170" i="29"/>
  <c r="E172" i="29"/>
  <c r="E170" i="29"/>
  <c r="B172" i="29"/>
  <c r="B170" i="29"/>
  <c r="H29" i="30"/>
  <c r="H28" i="30"/>
  <c r="H27" i="30"/>
  <c r="D24" i="42"/>
  <c r="D23" i="42"/>
  <c r="D22" i="42"/>
  <c r="D21" i="42"/>
  <c r="D20" i="42"/>
  <c r="D19" i="42"/>
  <c r="D14" i="42"/>
  <c r="D13" i="42"/>
  <c r="D12" i="42"/>
  <c r="C25" i="45"/>
  <c r="C23" i="45"/>
  <c r="C21" i="45"/>
  <c r="C20" i="45"/>
  <c r="C19" i="45"/>
  <c r="C11" i="45"/>
  <c r="C10" i="45"/>
  <c r="C9" i="45"/>
  <c r="C8" i="45"/>
  <c r="C4" i="37"/>
  <c r="B4" i="35"/>
  <c r="B4" i="30"/>
  <c r="G75" i="29"/>
  <c r="F20" i="42"/>
  <c r="G12" i="27"/>
  <c r="H4" i="1"/>
  <c r="G74" i="29"/>
  <c r="K28" i="30"/>
  <c r="J28" i="30"/>
  <c r="K29" i="30"/>
  <c r="J29" i="30"/>
  <c r="B4" i="39"/>
  <c r="D5" i="39"/>
  <c r="E4" i="39"/>
  <c r="K5" i="39"/>
  <c r="J4" i="39"/>
  <c r="L3" i="39"/>
  <c r="J3" i="39"/>
  <c r="L5" i="42"/>
  <c r="L4" i="42"/>
  <c r="E5" i="42"/>
  <c r="E4" i="42"/>
  <c r="B4" i="42"/>
  <c r="M3" i="42"/>
  <c r="L3" i="42"/>
  <c r="F4" i="37"/>
  <c r="R3" i="37"/>
  <c r="H30" i="35"/>
  <c r="I33" i="35"/>
  <c r="I32" i="35"/>
  <c r="I31" i="35"/>
  <c r="I30" i="35"/>
  <c r="B26" i="35"/>
  <c r="B13" i="27"/>
  <c r="B11" i="27"/>
  <c r="G10" i="27"/>
  <c r="D9" i="27"/>
  <c r="F6" i="27"/>
  <c r="D5" i="35"/>
  <c r="E4" i="35"/>
  <c r="K5" i="35"/>
  <c r="J4" i="35"/>
  <c r="E5" i="37"/>
  <c r="Q5" i="37"/>
  <c r="Q4" i="37"/>
  <c r="O3" i="37"/>
  <c r="J5" i="30"/>
  <c r="D5" i="30"/>
  <c r="I4" i="30"/>
  <c r="E4" i="30"/>
  <c r="H8" i="37"/>
  <c r="D8" i="37"/>
  <c r="S169" i="29"/>
  <c r="R169" i="29"/>
  <c r="Q169" i="29"/>
  <c r="P169" i="29"/>
  <c r="O169" i="29"/>
  <c r="N169" i="29"/>
  <c r="M169" i="29"/>
  <c r="L169" i="29"/>
  <c r="K169" i="29"/>
  <c r="J169" i="29"/>
  <c r="I169" i="29"/>
  <c r="H169" i="29"/>
  <c r="B36" i="39"/>
  <c r="B34" i="39"/>
  <c r="B34" i="35"/>
  <c r="AA47" i="37"/>
  <c r="AB47" i="37"/>
  <c r="AA46" i="37"/>
  <c r="AB46" i="37"/>
  <c r="AA37" i="37"/>
  <c r="AB37" i="37"/>
  <c r="AG36" i="37"/>
  <c r="AF36" i="37"/>
  <c r="AE36" i="37"/>
  <c r="AD36" i="37"/>
  <c r="AC36" i="37"/>
  <c r="V36" i="37"/>
  <c r="W36" i="37"/>
  <c r="X36" i="37"/>
  <c r="Y36" i="37"/>
  <c r="U37" i="37"/>
  <c r="V37" i="37"/>
  <c r="W37" i="37"/>
  <c r="X37" i="37"/>
  <c r="Y37" i="37"/>
  <c r="U46" i="37"/>
  <c r="V46" i="37"/>
  <c r="W46" i="37"/>
  <c r="X46" i="37"/>
  <c r="Y46" i="37"/>
  <c r="U47" i="37"/>
  <c r="V47" i="37"/>
  <c r="W47" i="37"/>
  <c r="X47" i="37"/>
  <c r="Y47" i="37"/>
  <c r="U49" i="37"/>
  <c r="V49" i="37"/>
  <c r="W49" i="37"/>
  <c r="X49" i="37"/>
  <c r="Y49" i="37"/>
  <c r="U51" i="37"/>
  <c r="U50" i="37"/>
  <c r="V50" i="37"/>
  <c r="W50" i="37"/>
  <c r="X50" i="37"/>
  <c r="Y50" i="37"/>
  <c r="V51" i="37"/>
  <c r="X51" i="37"/>
  <c r="U52" i="37"/>
  <c r="V52" i="37"/>
  <c r="W52" i="37"/>
  <c r="X52" i="37"/>
  <c r="Y52" i="37"/>
  <c r="U53" i="37"/>
  <c r="V53" i="37"/>
  <c r="W53" i="37"/>
  <c r="X53" i="37"/>
  <c r="Y53" i="37"/>
  <c r="Y51" i="37"/>
  <c r="W51" i="37"/>
  <c r="C35" i="29"/>
  <c r="R29" i="29"/>
  <c r="R33" i="29"/>
  <c r="H35" i="29"/>
  <c r="R35" i="29"/>
  <c r="L35" i="29"/>
  <c r="M35" i="29"/>
  <c r="F35" i="37"/>
  <c r="G58" i="37"/>
  <c r="G54" i="37"/>
  <c r="G50" i="37"/>
  <c r="G46" i="37"/>
  <c r="G42" i="37"/>
  <c r="G38" i="37"/>
  <c r="H38" i="37" s="1"/>
  <c r="F40" i="37"/>
  <c r="F44" i="37"/>
  <c r="F48" i="37"/>
  <c r="F52" i="37"/>
  <c r="H52" i="37" s="1"/>
  <c r="F56" i="37"/>
  <c r="F36" i="37"/>
  <c r="G57" i="37"/>
  <c r="G53" i="37"/>
  <c r="G49" i="37"/>
  <c r="G45" i="37"/>
  <c r="G41" i="37"/>
  <c r="G37" i="37"/>
  <c r="H37" i="37" s="1"/>
  <c r="F41" i="37"/>
  <c r="F45" i="37"/>
  <c r="H45" i="37" s="1"/>
  <c r="F49" i="37"/>
  <c r="F53" i="37"/>
  <c r="H53" i="37" s="1"/>
  <c r="F57" i="37"/>
  <c r="F37" i="37"/>
  <c r="G56" i="37"/>
  <c r="H56" i="37" s="1"/>
  <c r="G52" i="37"/>
  <c r="G48" i="37"/>
  <c r="G44" i="37"/>
  <c r="G40" i="37"/>
  <c r="G36" i="37"/>
  <c r="F42" i="37"/>
  <c r="F46" i="37"/>
  <c r="F50" i="37"/>
  <c r="H50" i="37" s="1"/>
  <c r="F54" i="37"/>
  <c r="F58" i="37"/>
  <c r="H58" i="37" s="1"/>
  <c r="F38" i="37"/>
  <c r="G55" i="37"/>
  <c r="H55" i="37" s="1"/>
  <c r="G47" i="37"/>
  <c r="H47" i="37" s="1"/>
  <c r="G43" i="37"/>
  <c r="G39" i="37"/>
  <c r="H39" i="37" s="1"/>
  <c r="F43" i="37"/>
  <c r="H43" i="37" s="1"/>
  <c r="F47" i="37"/>
  <c r="F55" i="37"/>
  <c r="G51" i="37"/>
  <c r="G35" i="37"/>
  <c r="H35" i="37" s="1"/>
  <c r="F51" i="37"/>
  <c r="H51" i="37" s="1"/>
  <c r="F39" i="37"/>
  <c r="H15" i="35"/>
  <c r="H22" i="30"/>
  <c r="B3" i="32"/>
  <c r="AE46" i="37"/>
  <c r="AC46" i="37"/>
  <c r="AG46" i="37"/>
  <c r="AF46" i="37"/>
  <c r="AE37" i="37"/>
  <c r="AD37" i="37"/>
  <c r="AC37" i="37"/>
  <c r="AG37" i="37"/>
  <c r="AF37" i="37"/>
  <c r="AD46" i="37"/>
  <c r="E20" i="42"/>
  <c r="K113" i="29"/>
  <c r="L33" i="35"/>
  <c r="J33" i="35"/>
  <c r="H7" i="35"/>
  <c r="D35" i="29"/>
  <c r="R32" i="29"/>
  <c r="B22" i="30"/>
  <c r="AC47" i="37"/>
  <c r="AG47" i="37"/>
  <c r="AD47" i="37"/>
  <c r="AE47" i="37"/>
  <c r="AF47" i="37"/>
  <c r="J30" i="35"/>
  <c r="K110" i="29"/>
  <c r="L30" i="35"/>
  <c r="K111" i="29"/>
  <c r="L31" i="35"/>
  <c r="J31" i="35"/>
  <c r="J32" i="35"/>
  <c r="K112" i="29"/>
  <c r="L32" i="35"/>
  <c r="H8" i="30"/>
  <c r="H26" i="35"/>
  <c r="B8" i="30"/>
  <c r="B7" i="35"/>
  <c r="B15" i="35"/>
  <c r="G35" i="29"/>
  <c r="F35" i="29"/>
  <c r="Q53" i="29"/>
  <c r="E55" i="29"/>
  <c r="H57" i="37"/>
  <c r="H49" i="37"/>
  <c r="H48" i="37"/>
  <c r="H41" i="37"/>
  <c r="H40" i="37"/>
  <c r="H42" i="37"/>
  <c r="H46" i="37"/>
  <c r="H44" i="37" l="1"/>
  <c r="H54" i="37"/>
  <c r="H36" i="37"/>
  <c r="F49" i="29"/>
  <c r="E49" i="29"/>
  <c r="K35" i="29"/>
  <c r="R51" i="29"/>
  <c r="E3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charset val="204"/>
          </rPr>
          <t>To define your periods (eg. P1, P2, P3 etc or P9, P10, P11 etc) you need to unprotect the cells.</t>
        </r>
      </text>
    </comment>
    <comment ref="B74" authorId="1" shapeId="0" xr:uid="{00000000-0006-0000-0200-000002000000}">
      <text>
        <r>
          <rPr>
            <b/>
            <sz val="8"/>
            <color indexed="81"/>
            <rFont val="Tahoma"/>
            <family val="2"/>
            <charset val="204"/>
          </rPr>
          <t xml:space="preserve">If data are not available, do not enter zeros; rather, leave the cells in the table blank. </t>
        </r>
      </text>
    </comment>
    <comment ref="B75" authorId="1" shapeId="0" xr:uid="{00000000-0006-0000-0200-000003000000}">
      <text>
        <r>
          <rPr>
            <b/>
            <sz val="8"/>
            <color indexed="81"/>
            <rFont val="Tahoma"/>
            <family val="2"/>
            <charset val="204"/>
          </rPr>
          <t>If data are not available, do not enter zeros; rather, leave the cells in this table blank.</t>
        </r>
      </text>
    </comment>
    <comment ref="B81" authorId="0" shapeId="0" xr:uid="{00000000-0006-0000-0200-000004000000}">
      <text>
        <r>
          <rPr>
            <sz val="8"/>
            <color indexed="81"/>
            <rFont val="Tahoma"/>
            <family val="2"/>
            <charset val="204"/>
          </rPr>
          <t xml:space="preserve">If data are not available, do not enter zeros; rather, leave the cells in this table blank. </t>
        </r>
      </text>
    </comment>
    <comment ref="B96" authorId="0" shapeId="0" xr:uid="{00000000-0006-0000-0200-00000500000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<sst xmlns="http://schemas.openxmlformats.org/spreadsheetml/2006/main" count="913" uniqueCount="536">
  <si>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</si>
  <si>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</si>
  <si>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</si>
  <si>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</si>
  <si>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</si>
  <si>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</si>
  <si>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</si>
  <si>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</si>
  <si>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</si>
  <si>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</si>
  <si>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</si>
  <si>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</si>
  <si>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</si>
  <si>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</si>
  <si>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</si>
  <si>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</si>
  <si>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</si>
  <si>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</si>
  <si>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</si>
  <si>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</si>
  <si>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</si>
  <si>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</si>
  <si>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</si>
  <si>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</si>
  <si>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</si>
  <si>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</si>
  <si>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</si>
  <si>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</si>
  <si>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</si>
  <si>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</si>
  <si>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</si>
  <si>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</si>
  <si>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</si>
  <si>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</si>
  <si>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</si>
  <si>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</si>
  <si>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</si>
  <si>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</si>
  <si>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</si>
  <si>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</si>
  <si>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</si>
  <si>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</si>
  <si>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</si>
  <si>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</si>
  <si>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</si>
  <si>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</si>
  <si>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</si>
  <si>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</si>
  <si>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</si>
  <si>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</si>
  <si>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</si>
  <si>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</si>
  <si>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</si>
  <si>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</si>
  <si>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</si>
  <si>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</si>
  <si>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</si>
  <si>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</si>
  <si>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</si>
  <si>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</si>
  <si>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</si>
  <si>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</si>
  <si>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</si>
  <si>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</si>
  <si>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</si>
  <si>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</si>
  <si>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</si>
  <si>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</si>
  <si>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</si>
  <si>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</si>
  <si>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</si>
  <si>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</si>
  <si>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</si>
  <si>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</si>
  <si>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</si>
  <si>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</si>
  <si>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</si>
  <si>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</si>
  <si>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</si>
  <si>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</si>
  <si>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</si>
  <si>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</si>
  <si>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</si>
  <si>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</si>
  <si>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</si>
  <si>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</si>
  <si>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</si>
  <si>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</si>
  <si>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</si>
  <si>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</si>
  <si>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</si>
  <si>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</si>
  <si>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</si>
  <si>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</si>
  <si>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</si>
  <si>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</si>
  <si>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</si>
  <si>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</si>
  <si>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</si>
  <si>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</si>
  <si>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</si>
  <si>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</si>
  <si>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</si>
  <si>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</si>
  <si>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</si>
  <si>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</si>
  <si>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</si>
  <si>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</si>
  <si>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</si>
  <si>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</si>
  <si>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</si>
  <si>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</si>
  <si>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</si>
  <si>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</si>
  <si>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</si>
  <si>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</si>
  <si>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</si>
  <si>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</si>
  <si>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</si>
  <si>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</si>
  <si>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</si>
  <si>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</si>
  <si>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</si>
  <si>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</si>
  <si>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</si>
  <si>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</si>
  <si>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</si>
  <si>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</si>
  <si>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</si>
  <si>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</si>
  <si>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</si>
  <si>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</si>
  <si>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</si>
  <si>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</si>
  <si>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</si>
  <si>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</si>
  <si>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</si>
  <si>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</si>
  <si>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</si>
  <si>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</si>
  <si>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</si>
  <si>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</si>
  <si>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</si>
  <si>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</si>
  <si>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</si>
  <si>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</si>
  <si>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</si>
  <si>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</si>
  <si>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</si>
  <si>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</si>
  <si>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</si>
  <si>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</si>
  <si>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</si>
  <si>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</si>
  <si>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</si>
  <si>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</si>
  <si>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</si>
  <si>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</si>
  <si>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</si>
  <si>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</si>
  <si>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</si>
  <si>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</si>
  <si>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</si>
  <si>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</si>
  <si>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</si>
  <si>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</si>
  <si>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</si>
  <si>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</si>
  <si>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</si>
  <si>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</si>
  <si>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</si>
  <si>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</si>
  <si>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</si>
  <si>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</si>
  <si>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</si>
  <si>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</si>
  <si>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</si>
  <si>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</si>
  <si>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</si>
  <si>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</si>
  <si>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</si>
  <si>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</si>
  <si>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</si>
  <si>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</si>
  <si>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</si>
  <si>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</si>
  <si>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</si>
  <si>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</si>
  <si>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</si>
  <si>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</si>
  <si>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</si>
  <si>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</si>
  <si>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</si>
  <si>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</si>
  <si>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</si>
  <si>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</si>
  <si>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</si>
  <si>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</si>
  <si>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</si>
  <si>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</si>
  <si>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</si>
  <si>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</si>
  <si>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</si>
  <si>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</si>
  <si>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</si>
  <si>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</si>
  <si>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</si>
  <si>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</si>
  <si>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</si>
  <si>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</si>
  <si>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</si>
  <si>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</si>
  <si>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</si>
  <si>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</si>
  <si>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</si>
  <si>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</si>
  <si>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</si>
  <si>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</si>
  <si>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</si>
  <si>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</si>
  <si>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</si>
  <si>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</si>
  <si>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</si>
  <si>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</si>
  <si>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</si>
  <si>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</si>
  <si>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</si>
  <si>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</si>
  <si>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</si>
  <si>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</si>
  <si>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</si>
  <si>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</si>
  <si>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</si>
  <si>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</si>
  <si>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</si>
  <si>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</si>
  <si>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</si>
  <si>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</si>
  <si>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</si>
  <si>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</si>
  <si>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</si>
  <si>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</si>
  <si>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</si>
  <si>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</si>
  <si>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</si>
  <si>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</si>
  <si>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</si>
  <si>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</si>
  <si>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</si>
  <si>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</si>
  <si>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</si>
  <si>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</si>
  <si>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</si>
  <si>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</si>
  <si>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</si>
  <si>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</si>
  <si>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</si>
  <si>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</si>
  <si>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</si>
  <si>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</si>
  <si>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</si>
  <si>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</si>
  <si>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</si>
  <si>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</si>
  <si>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</si>
  <si>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</si>
  <si>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</si>
  <si>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</si>
  <si>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</si>
  <si>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</si>
  <si>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</si>
  <si>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</si>
  <si>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</si>
  <si>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</si>
  <si>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</si>
  <si>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</si>
  <si>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</si>
  <si>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</si>
  <si>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</si>
  <si>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</si>
  <si>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</si>
  <si>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</si>
  <si>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</si>
  <si>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</si>
  <si>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</si>
  <si>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</si>
  <si>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</si>
  <si>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</si>
  <si>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</si>
  <si>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</si>
  <si>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</si>
  <si>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</si>
  <si>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</si>
  <si>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</si>
  <si>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</si>
  <si>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</si>
  <si>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</si>
  <si>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</si>
  <si>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</si>
  <si>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</si>
  <si>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</si>
  <si>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</si>
  <si>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</si>
  <si>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</si>
  <si>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</si>
  <si>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</si>
  <si>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</si>
  <si>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</si>
  <si>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</si>
  <si>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</si>
  <si>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</si>
  <si>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</si>
  <si>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</si>
  <si>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</si>
  <si>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</si>
  <si>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</si>
  <si>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</si>
  <si>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</si>
  <si>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</si>
  <si>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</si>
  <si>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</si>
  <si>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</si>
  <si>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</si>
  <si>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</si>
  <si>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</si>
  <si>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</si>
  <si>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</si>
  <si>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</si>
  <si>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</si>
  <si>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</si>
  <si>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</si>
  <si>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</si>
  <si>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</si>
  <si>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</si>
  <si>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</si>
  <si>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</si>
  <si>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</si>
  <si>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</si>
  <si>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</si>
  <si>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</si>
  <si>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</si>
  <si>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</si>
  <si>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</si>
  <si>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</si>
  <si>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</si>
  <si>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</si>
  <si>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</si>
  <si>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</si>
  <si>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</si>
  <si>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</si>
  <si>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</si>
  <si>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</si>
  <si>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</si>
  <si>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</si>
  <si>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</si>
  <si>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</si>
  <si>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</si>
  <si>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</si>
  <si>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</si>
  <si>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</si>
  <si>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</si>
  <si>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</si>
  <si>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</si>
  <si>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</si>
  <si>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</si>
  <si>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</si>
  <si>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</si>
  <si>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</si>
  <si>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</si>
  <si>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</si>
  <si>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</si>
  <si>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</si>
  <si>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</si>
  <si>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</si>
  <si>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</si>
  <si>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</si>
  <si>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</si>
  <si>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</si>
  <si>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</si>
  <si>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</si>
  <si>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</si>
  <si>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</si>
  <si>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</si>
  <si>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</si>
  <si>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</si>
  <si>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</si>
  <si>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</si>
  <si>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</si>
  <si>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</si>
  <si>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</si>
  <si>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</si>
  <si>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</si>
  <si>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</si>
  <si>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</si>
  <si>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</si>
  <si>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</si>
  <si>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</si>
  <si>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</si>
  <si>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</si>
  <si>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</si>
  <si>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</si>
  <si>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</si>
  <si>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</si>
  <si>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</si>
  <si>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</si>
  <si>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</si>
  <si>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</si>
  <si>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</si>
  <si>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</si>
  <si>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</si>
  <si>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</si>
  <si>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Utilizarea dobînzii</t>
  </si>
  <si>
    <t xml:space="preserve">Ultima debursare: Zile calendaristice </t>
  </si>
  <si>
    <t>Indicatori de Program (din Performance Framework)</t>
  </si>
  <si>
    <t xml:space="preserve">    Introduceți datele de performanță în celulele în galben.</t>
  </si>
  <si>
    <t xml:space="preserve">Colectat trimestrial și anual </t>
  </si>
  <si>
    <t>Recomandările cheie a Comisiei de Supraveghere</t>
  </si>
  <si>
    <t>IP UCIMP DS</t>
  </si>
  <si>
    <t>Tsovinar Sakanyan</t>
  </si>
  <si>
    <t xml:space="preserve">                               Introduceți datele pentru management în celulele albastre</t>
  </si>
  <si>
    <t>Consolidarea managementului, coordonării, monitorizării și evaluării Programului Național de control al tuberculozei</t>
  </si>
  <si>
    <t>Fortificarea managementului Programului</t>
  </si>
  <si>
    <t xml:space="preserve">Sistemul R&amp;R TB; Rapoarte trimestriale; SYME TB; Modul DOTS Plus </t>
  </si>
  <si>
    <t>Sistemul R&amp;R TB; Rapoarte trimestriale/ anuale; Rapoarte NTP; SYME TB; Modul DOTS Plus</t>
  </si>
  <si>
    <t xml:space="preserve">Sistemul R&amp;R TB; Rapoarte anuale; Supraveghere de rutină a DR (Drog Rezistenței); SYME TB
</t>
  </si>
  <si>
    <t>* Include numai AFR categoriile 4,5 și 6  (Produse medicale și Echipamente medicale &amp; Medicamente și Produse farmaceutice)</t>
  </si>
  <si>
    <t>Angajamente</t>
  </si>
  <si>
    <t>Variația</t>
  </si>
  <si>
    <t>%</t>
  </si>
  <si>
    <t>MDA-C-PCIMU</t>
  </si>
  <si>
    <t>Consolidarea controlului tuberculozei și reducerea SIDA și a mortalității aferente în Republica Moldova</t>
  </si>
  <si>
    <t>Start date</t>
  </si>
  <si>
    <t>End data</t>
  </si>
  <si>
    <t>N/A</t>
  </si>
  <si>
    <t>Asigurarea accesului universal la diagnosticul la timp şi de calitate al tuturor formelor de tuberculoză, inclusiv celor cu TB-M/EDR</t>
  </si>
  <si>
    <t>Asigurarea accesului universal la tratamentul calitativ pentru toate formele de TB, inclusiv cu TB-M/EDR</t>
  </si>
  <si>
    <t>Sporirea accesului la servicii de prevenire a infecției HIV, pe bază de dovezi</t>
  </si>
  <si>
    <t>Asigurarea accesului universal la servicii de tratament, îngrijire și suport comprehensiv al infecției HIV</t>
  </si>
  <si>
    <t xml:space="preserve">Consolidarea capacităţii comunităților si asigurarea durabilităţii programului </t>
  </si>
  <si>
    <t>HIV I-4: Mortalitatea asociată cu SIDA la 100,000 populaţie</t>
  </si>
  <si>
    <t>Studiu Bio-comportamental (BSS)</t>
  </si>
  <si>
    <t xml:space="preserve">Numărător: Numărul de respondenți care au rezultat HIV pozitiv.                                                                                                             
Numitor: Numărul de respondenți testați pentru HIV.                                                                                       </t>
  </si>
  <si>
    <t xml:space="preserve">Numărător: Numărul de respondenți care au rezultat HIV pozitiv.
Numitor: Numărul de respondenți testați pentru HIV.    </t>
  </si>
  <si>
    <t>Indicator de impact</t>
  </si>
  <si>
    <t>HIV O-4a (M): Procentul BSB care raportează utilizarea prezervativului în timpul ultimului act de sex anal cu partenerul de gen masculin</t>
  </si>
  <si>
    <t>HIV O-5 (M): Procentul LSC care raportează utilizarea prezervativului cu ultimul lor client</t>
  </si>
  <si>
    <t>HIV O-6 (M): Procentul consumatorilor de droguri injectabile care raportează utilizarea setului pentru injectare steril la ultima injectare</t>
  </si>
  <si>
    <t xml:space="preserve">Numărător: Numărul de respondenți care au raportat utilizarea prezervativului cu ultimul lor client.
Numitor: Numărul de respondenți care au raportat practicarea sexului comercial în ultimele 12 luni.                                                             </t>
  </si>
  <si>
    <t xml:space="preserve">Numărător: Numărul de respondenți care au raportat utilizarea setului pentru injectare steril, la ultima consumare de droguri injectabile.
Numitor: Numărul de respondenți care au raportat consumarea de droguri injectabile în ultima lună.                                                                                    </t>
  </si>
  <si>
    <t>Indicator de rezultat</t>
  </si>
  <si>
    <t xml:space="preserve">KP-1d(M): Procentul consumatorilor de droguri injectabile acoperiți de programele de prevenire HIV - pachet definit de servicii </t>
  </si>
  <si>
    <t>KP-3d(M): Procentul consumatorilor de droguri injectabile care au fost testați pentru HIV în perioada de raportare și își cunosc rezultatele</t>
  </si>
  <si>
    <t xml:space="preserve">KP-1c(M): Procentul LSC acoperiți de programele de prevenire HIV - pachet definit de servicii </t>
  </si>
  <si>
    <t>KP-3c(M): Procentul LSC care au fost testați pentru HIV în perioada de raportare și își cunosc rezultatele</t>
  </si>
  <si>
    <t xml:space="preserve">KP-1a(M): Procentul BSB acoperiți de programele de prevenire HIV - pachet definit de servicii </t>
  </si>
  <si>
    <t>KP-3a(M): Procentul BSB care au fost testați pentru HIV în perioada de raportare și își cunosc rezultatele</t>
  </si>
  <si>
    <t xml:space="preserve">TCS-1 (M): Procentul adulţilor şi copiilor care trăiesc cu HIV și urmează tratament antiretroviral </t>
  </si>
  <si>
    <t>Indicator de proces</t>
  </si>
  <si>
    <t>HIV</t>
  </si>
  <si>
    <t>Definiție (din M&amp;E Plan)</t>
  </si>
  <si>
    <t>Column1</t>
  </si>
  <si>
    <t>Column2</t>
  </si>
  <si>
    <t>N</t>
  </si>
  <si>
    <t>Tip indicator</t>
  </si>
  <si>
    <t xml:space="preserve">Numărător: Numărul de respondenți care au raportat utilizarea prezervativului în timpul ultimului act de sex anal.                                                       
Numitor: Numărul de respondenți care au raportat practicarea sexului anal în ultimele 6 luni.                                                                                      </t>
  </si>
  <si>
    <t>Sistemul R&amp;R TB; Rapoarte trimestriale; SYME TB</t>
  </si>
  <si>
    <t xml:space="preserve">Componenta </t>
  </si>
  <si>
    <t>TB I-3(M): Rata mortalităţii  - Numărul estimat de decese cauzate de TB (toate formele) pe an, la 100,000 persoane</t>
  </si>
  <si>
    <t xml:space="preserve">TB I-4(M): Prevalența TB MDR printre cazurile noi de tuberculoză </t>
  </si>
  <si>
    <t xml:space="preserve">Numărător: Numărul de respondenți care au rezultat HIV pozitiv.                                                                                                             
Numitor: Numărul de respondenți testați pentru HIV.                                                   
                                </t>
  </si>
  <si>
    <t xml:space="preserve">Registru pacienți/ Registru Național Decese
</t>
  </si>
  <si>
    <t xml:space="preserve">Numărător: Numărul de decese cauzate de HIV/ SIDA într-o anumită perioadă de timp.                                                  Numitor: Adulți (15+): Numărul total al populației (per 100 000 persoane). Copii (&lt;15): Numărul total al populației (per 1 000 nou-născuți).                                      
                                </t>
  </si>
  <si>
    <t>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t>
  </si>
  <si>
    <t xml:space="preserve">HIV I-9a (M): Procentul BSB care trăiesc cu HIV </t>
  </si>
  <si>
    <t>HIV I-10 (M): Procentul LSC care trăiesc cu HIV</t>
  </si>
  <si>
    <t>HIV I-11 (M): Procentul consumatorilor de droguri injectabile care trăiesc cu HIV</t>
  </si>
  <si>
    <t xml:space="preserve">TB O-4(M): Rata succesului tratamentului pacienților cu RR TB și/sau MDR-TB </t>
  </si>
  <si>
    <t>TB O-1a: Rata de notificare a cazurilor de tuberculoză (toate formele) per 100,000 populație</t>
  </si>
  <si>
    <t>Numărător: Numărul cazurilor de TB DR confirmate bacteriologic (RR-TB și/sau MDR-TB), tratate cu succes (vindecate și cu tratamente încheiate).
Numitor: Numărul total de cazuri înregistrate sub DOTS Plus într-o anumită perioadă de timp (dezagregate în funcție de sex și vîrstă &lt;15, 15+).</t>
  </si>
  <si>
    <t>Numărător: Toate cazurile de tuberculoză (bacteriologic confirmate și diagnosticate clinic, cazuri noi și recidive) notificate către autoritatea națională într-o perioadă anumită de timp per 100,000 populație.
Numitor: Numărul total al populației în țară.</t>
  </si>
  <si>
    <t>Numărător: Numărul de decese cauzate de TB (toate formele) înregistrate într-o anumită perioadă per 100,000 persoane.                                                                                                                                                      Numitor: Numărul total al populației în țară.</t>
  </si>
  <si>
    <t>TB O-5(M): Rata de acoperire cu tratament antituberculos</t>
  </si>
  <si>
    <t>Numărător: Number de cazuri noi și recidive notificate și acoperite cu tratament, during specified period of time.
Numitor: Numărul estimat de cazuri TB din același an (toate formele TB - bacteriologic confirmate și diagnosticate clinic), din baza de date a OMS (WHO Global TB).</t>
  </si>
  <si>
    <t>Sistemul R&amp;R TB; Rapoarte trimestriale; SYME TB
Date estimative ale OMS (WHO Global TB)</t>
  </si>
  <si>
    <t xml:space="preserve">HIV O-1 (M): Procentul adulţilor şi copiilor HIV infectaţi care se află în tratament 12 luni după iniţierea tratamentului antiretroviral </t>
  </si>
  <si>
    <t xml:space="preserve">Numărător: Numărul adulților și copiilor care sunt în viață și în terapie ARV 12 luni după inițierea tratamentului.
Numitor: Numărul total de adulți ăi copii care în perioada de raportare au facut 12 luni de la inițierea TARV.                                                                         
</t>
  </si>
  <si>
    <t>MDR TB-2(M): Numărul cazurilor de TB DR (RR-TB și/sau MDR-TB), confirmate bacteriologic, notificate</t>
  </si>
  <si>
    <t xml:space="preserve">MDR TB-3(M): Numărul cazurilor cu tuberculoză drog-rezistentă (RR-TB și/sau MDR-TB), confirmate bacteriologic, care au demarat tratamentul DOTS-Plus în perioada raportată                </t>
  </si>
  <si>
    <t xml:space="preserve">Numărător: Numărul cazurilor cu tuberculoză drog-rezistentă (RR-TB și/sau MDR-TB), confirmate bacteriologic, care au demarat tratamentul DOTS-Plus în perioada raportată.
Numitor: Nu este   </t>
  </si>
  <si>
    <t xml:space="preserve">Numărător: Numărul de cazuri de TB DR (RR-TB și/sau MDR-TB), confirmate bacteriologic, notificate către autoritatea națională, în perioada raportată.                                                                                              Numitor: Nu este   </t>
  </si>
  <si>
    <t>MDR TB-4: Rezultatul interimar de abandon al tratamentului cazurilor MDR-TB</t>
  </si>
  <si>
    <t xml:space="preserve">Numărător: Numărul pacienţilor cu tuberculoză drog-rezistentă (RR-TB și/sau MDR-TB) care au întrerupt tratamentul DOTS-Plus către luna a 6 de la demararea acestuia.
Numitor: Numărul total de cazuri cu tuberculoză drog-rezistentă (RR-TB și/sau MDR-TB), confirmate bacteriologic, care au demarat tratamentul DOTS-Plus în perioada raportată.         </t>
  </si>
  <si>
    <t>MDR TB-8: Numărul cazurilor de XDR TB incluși în tratament în perioada raportată</t>
  </si>
  <si>
    <t xml:space="preserve">Numărător: Numărul cazurilor de XDR TB incluși în tratament în perioada raportată.                                    Numitor: Nu este                                                            </t>
  </si>
  <si>
    <t xml:space="preserve">Forme de raportare ONG, bazate pe IDU Ident  
</t>
  </si>
  <si>
    <t xml:space="preserve">Forme de raportare ONG, bazate pe IDU Ident
</t>
  </si>
  <si>
    <t xml:space="preserve">Numărător: Numărul adulților și copiilor cu infecția HIV avansată, care urmează, la etapa actuală, terapie antiretrovirală, în conformitate cu protocoalele de tratament, aprobate la nivel național la sfârșitul perioadei de raportare.
Numitor: Numărul estimat de adulți și copii care trăiesc cu HIV (date - generate de SPECTRUM).                                     
</t>
  </si>
  <si>
    <t xml:space="preserve">Numărător: Numărul de CDI respondenți, care au fost testați pentru HIV în perioada de raportare și își cunosc rezultatele.
Numitor: Numărul estimat de CDI în Rep. Moldova.      
</t>
  </si>
  <si>
    <t xml:space="preserve">Numărător: Numărul de BSB care au fost testați pentru HIV în perioada de raportare și își cunosc rezultatele.
Numitor: Numărul estimat de BSB în Rep. Moldova.   
</t>
  </si>
  <si>
    <t xml:space="preserve">Numărător: Numărul de consumatori de droguri injectabile (CDI) care au beneficiat de un pachet definit de servicii de prevenire HIV*.                                                   
Numitor: Numărul estimat de CDI în Rep. Moldova.                                                             
Notă* - CDI care au beneficiat de cel puțin 2 servicii din pachetul sus-menționat, dintre care unul a fost distribuția de seringi. Pachetul de servicii include: distribuția de seringi, distribuția de prezervative, consiliere profesională (psiholog, asistent social/ medical), distribuția de  materiale informaționale, consultare de la egal la egal, servicii VCT (consiliere și testare voluntară).                                                      </t>
  </si>
  <si>
    <t xml:space="preserve">Numărător: Numărul de LSC care au beneficiat de un pachet definit de servicii de prevenire HIV*.                                                   Numitor: Numărul estimat de LSC în Rep. Moldova.                                                    
Notă* - LSC care au beneficiat de cel puțin 2 servicii din pachetul sus-menționat, dintre care unul a fost distribuția de prezervative. Pachetul de servicii include: distribuția de prezervative, consiliere profesională (psiholog, asistent social/ medical), distribuția de  materiale informaționale, managementul ITS (infecții cu transmitere sexuală), consultare de la egal la egal, servicii VCT (consiliere și testare voluntară), distribuția de seringi și distribuția de dezinfectanți.                     </t>
  </si>
  <si>
    <t xml:space="preserve">Numărător: Numărul de BSB care au beneficiat de un pachet definit de servicii de prevenire HIV*.                                                   Numitor: Numărul estimat de BSB în Rep. Moldova.                                                    
Notă* - BSB care au beneficiat de cel puțin 2 servicii din pachetul sus-menționat, dintre care unul a fost distribuția de prezervative și/ sau lubrifiante. Pachetul de servicii include: distribuția de prezervative, distribuția de lubrifiante, consiliere psihologică profesională, consiliere IEC (informare, educare, comunicare), consultare de la egal la egal, servicii VCT (consiliere și testare voluntară), distribuția de seringi și distribuția de dezinfectanți.                                           </t>
  </si>
  <si>
    <t xml:space="preserve">Numărător: Numărul de LSC care au fost testați pentru HIV în perioada de raportare și își cunosc rezultatele.                                                                                                                                                             Numitor: Numărul estimat de LSC în Rep. Moldova.                                                           </t>
  </si>
  <si>
    <t>Registrele pacienților în TARV (Centrele TARV)</t>
  </si>
  <si>
    <t xml:space="preserve">
BSS. Data de raportare - 31 August 2020
</t>
  </si>
  <si>
    <t>BSS. Data de raportare - 31 August 2020</t>
  </si>
  <si>
    <t>n/a</t>
  </si>
  <si>
    <t>Data de raportare - 31 August 2020. Datele sunt colectate și validate în conformitate cu rezultatele Studiului Bio-Comportamental (BSS).</t>
  </si>
  <si>
    <t>Toate posturile în cadrul echipei ce gestionează Grantul curent sunt ocupate.</t>
  </si>
  <si>
    <t xml:space="preserve">Date preliminare pentru anul 2018. 393 cazuri noi de tuberculoză cu testul pozitiv la cultură, examinate la sensibilitate pentru preparatele de linia I, din 1 424 cazuri investigate în 2018, au fost diagnosticate cu MDR.
Notă - Se constată menținerea unei rate înalte a TB MDR printre cazurile noi - situație caracteristică ultimilor ani. </t>
  </si>
  <si>
    <t>Indicatorul se raportează anual. Datele finale pentru anul 2018 sunt raportabile către 15 August 2019.</t>
  </si>
  <si>
    <t xml:space="preserve">Date finale pentru anul 2018. 304 persoane au decedat de tuberculoză în anul 2018 (7,54 decese la 100 000 persoane). 
Notă - Ținta a fost atinsă. Se constată o micșorare cu 5% a ratei de mortalitate față de datele anului 2017 (320 cazuri de deces cauzate de tuberculoză), cu 18,3% a ratei de mortalitate față de datele anului 2016 (372 cazuri de deces cauzate de tuberculoză), cu 25,5% a ratei de mortalitate față de datele anului 2015 (408 cazuri de deces cauzate de tuberculoză), cu 40,2% a ratei de mortalitate față de datele anului 2014 (508 cazuri de deces cauzate de tuberculoză) și cu 33,3% față de datele anului 2013 (456 cazuri de deces cauzate de tuberculoză). </t>
  </si>
  <si>
    <r>
      <rPr>
        <b/>
        <sz val="8"/>
        <rFont val="Calibri"/>
        <family val="2"/>
      </rPr>
      <t xml:space="preserve">Date finale pentru anul 2018. </t>
    </r>
    <r>
      <rPr>
        <sz val="8"/>
        <rFont val="Calibri"/>
        <family val="2"/>
      </rPr>
      <t xml:space="preserve">304 persoane au decedat de tuberculoză în anul 2018 (7,54 decese la 100 000 persoane). 
Notă - Ținta a fost atinsă. Se constată o micșorare cu 5% a ratei de mortalitate față de datele anului 2017 (320 cazuri de deces cauzate de tuberculoză), cu 18,3% a ratei de mortalitate față de datele anului 2016 (372 cazuri de deces cauzate de tuberculoză), cu 25,5% a ratei de mortalitate față de datele anului 2015 (408 cazuri de deces cauzate de tuberculoză), cu 40,2% a ratei de mortalitate față de datele anului 2014 (508 cazuri de deces cauzate de tuberculoză) și cu 33,3% față de datele anului 2013 (456 cazuri de deces cauzate de tuberculoză). </t>
    </r>
  </si>
  <si>
    <r>
      <rPr>
        <b/>
        <sz val="8"/>
        <rFont val="Calibri"/>
        <family val="2"/>
      </rPr>
      <t xml:space="preserve">Date finale pentru anul 2018. </t>
    </r>
    <r>
      <rPr>
        <sz val="8"/>
        <rFont val="Calibri"/>
        <family val="2"/>
      </rPr>
      <t xml:space="preserve">397 cazuri noi de tuberculoză cu testul pozitiv la cultură, examinate la sensibilitate pentru preparatele de linia I, din 1 431 cazuri investigate în 2018, au fost diagnosticate cu MDR.
Notă - Se constată menținerea unei rate înalte a TB MDR printre cazurile noi - situație caracteristică ultimilor ani. </t>
    </r>
  </si>
  <si>
    <r>
      <rPr>
        <b/>
        <sz val="8"/>
        <rFont val="Calibri"/>
        <family val="2"/>
      </rPr>
      <t xml:space="preserve">Date preliminare pentru cohorta MDR-TB sem.I 2017. </t>
    </r>
    <r>
      <rPr>
        <sz val="8"/>
        <rFont val="Calibri"/>
        <family val="2"/>
      </rPr>
      <t xml:space="preserve">267 cazuri confirmate de TB MDR, din 507 incluse în tratmentul DOTS Plus în sem.I.2017, au fost tratate cu succes (vindecate și cu tratamente încheiate).   </t>
    </r>
    <r>
      <rPr>
        <b/>
        <sz val="8"/>
        <rFont val="Calibri"/>
        <family val="2"/>
      </rPr>
      <t xml:space="preserve">    </t>
    </r>
  </si>
  <si>
    <r>
      <t xml:space="preserve">Date finale pentru anul 2018. </t>
    </r>
    <r>
      <rPr>
        <sz val="8"/>
        <rFont val="Calibri"/>
        <family val="2"/>
      </rPr>
      <t xml:space="preserve">3 019 cazuri de tuberculoză (toate formele, bacteriologic confirmate și diagnosticate clinic, cazuri noi și recidive) au fost notificate către autoritatea națională în anul 2018.                                                                                                                Notă - Se constată o descreștere continuă a ratei de notificare înregistrate, precum urmează: cu 9,6% comparativ cu datele din 2017 (83,17 per 100 000), cu 15,2% comparativ cu datele din 2016 (88,63 per 100 000), cu 16% comparativ cu datele din 2015 (89,5 per 100 000), cu 18,8% comparativ cu datele din 2014 (92,5 per 100 000), cu 23% comparativ cu datele din 2013 (97,6 per 100 000) și cu 26,8% comparativ cu datele din 2012 (102,7 per 100 000).      </t>
    </r>
    <r>
      <rPr>
        <b/>
        <sz val="8"/>
        <rFont val="Calibri"/>
        <family val="2"/>
      </rPr>
      <t xml:space="preserve">            </t>
    </r>
  </si>
  <si>
    <r>
      <rPr>
        <b/>
        <sz val="8"/>
        <rFont val="Calibri"/>
        <family val="2"/>
      </rPr>
      <t xml:space="preserve">Date preliminare pentru trim.I-II 2019. </t>
    </r>
    <r>
      <rPr>
        <sz val="8"/>
        <rFont val="Calibri"/>
        <family val="2"/>
      </rPr>
      <t xml:space="preserve">348 cazuri cu tuberculoză drog-rezistentă (RR-TB și/sau MDR-TB), confirmate bacteriologic, au fost notificate, față de 512 cazuri estimate pentru perioada raportată.                                                    
Notă - Reducerea numărului de pacienți MDR TB notificați este în directă corespundere cu scăderea incidenței TB.    </t>
    </r>
    <r>
      <rPr>
        <b/>
        <sz val="8"/>
        <rFont val="Calibri"/>
        <family val="2"/>
      </rPr>
      <t xml:space="preserve">           </t>
    </r>
  </si>
  <si>
    <r>
      <rPr>
        <b/>
        <sz val="8"/>
        <rFont val="Calibri"/>
        <family val="2"/>
      </rPr>
      <t xml:space="preserve">Date preliminare pentru trim.I-II 2019. </t>
    </r>
    <r>
      <rPr>
        <sz val="8"/>
        <rFont val="Calibri"/>
        <family val="2"/>
      </rPr>
      <t xml:space="preserve">443 pacienți cu tuberculoză drog-rezistentă (RR-TB și/sau MDR-TB), confirmate bacteriologic, au demarat tratamentul DOTS-Plus în Q1-Q2.2019, față de 507 pacienți estimați pentru perioada raportată.      </t>
    </r>
    <r>
      <rPr>
        <b/>
        <sz val="8"/>
        <rFont val="Calibri"/>
        <family val="2"/>
      </rPr>
      <t xml:space="preserve">           </t>
    </r>
    <r>
      <rPr>
        <sz val="8"/>
        <rFont val="Calibri"/>
        <family val="2"/>
      </rPr>
      <t xml:space="preserve">                                                                                                      </t>
    </r>
  </si>
  <si>
    <r>
      <rPr>
        <b/>
        <sz val="8"/>
        <rFont val="Calibri"/>
        <family val="2"/>
      </rPr>
      <t xml:space="preserve">Date preliminare pentru sem.I 2018. </t>
    </r>
    <r>
      <rPr>
        <sz val="8"/>
        <rFont val="Calibri"/>
        <family val="2"/>
      </rPr>
      <t xml:space="preserve">43 pacienți din 487 incluși în tratamentul DOTS Plus în sem.I 2018, au abandonat tratamentul către luna a 6-a de la demararea acestuia.                                                              Notă - Analiza cazurilor care au abandonat tratamentul pentru DR-TB ne arată că există o diferență a ratei abandonului printre diferite categorii de pacienți. Astfel, rata interimară de abandon printre cazurile noi de pacienți cu DR-TB aflați în tratament a constituit doar 5,96% (14/235), pe când printre cazurile de retratamente aceasta a constituit 11,5% (29/252). 
           </t>
    </r>
  </si>
  <si>
    <t xml:space="preserve">Indicatorul se raportează anual. Datele pentru anul 2019 vor fi disponibile începînd cu trimestrul I.2020.                                                                              </t>
  </si>
  <si>
    <r>
      <rPr>
        <b/>
        <sz val="8"/>
        <rFont val="Calibri"/>
        <family val="2"/>
      </rPr>
      <t xml:space="preserve">Date preliminare pentru anul 2019. </t>
    </r>
    <r>
      <rPr>
        <sz val="8"/>
        <rFont val="Calibri"/>
        <family val="2"/>
      </rPr>
      <t xml:space="preserve">Pentru acest indicator, țintele sunt procentuale și anuale, la jumătate de an fiind raportat doar numărătorul. La data de 30.06.2019, din 17 100 BSB estimați pentru acoperire de programele comprehensive de prevenire pentru BSB în anul 2019, 1 277 BSB au fost testați pentru HIV și își cunosc rezultatele. </t>
    </r>
  </si>
  <si>
    <r>
      <rPr>
        <b/>
        <sz val="8"/>
        <rFont val="Calibri"/>
        <family val="2"/>
      </rPr>
      <t xml:space="preserve">Date preliminare pentru anul 2019. </t>
    </r>
    <r>
      <rPr>
        <sz val="8"/>
        <rFont val="Calibri"/>
        <family val="2"/>
      </rPr>
      <t xml:space="preserve">Pentru acest indicator, țintele sunt procentuale și anuale, la jumătate de an fiind raportat doar numărătorul. La data de 30.06.2019, din 17 100 BSB estimați pentru acoperire de programele comprehensive de prevenire pentru BSB în anul 2019, pe ambele maluri, 2 819 BSB au primit cel puțin două servicii, unul din care este obligatoriu distribuirea de prezervative sau lubrifianți.                                                        </t>
    </r>
  </si>
  <si>
    <r>
      <rPr>
        <b/>
        <sz val="8"/>
        <rFont val="Calibri"/>
        <family val="2"/>
      </rPr>
      <t xml:space="preserve">Date preliminare pentru anul 2019. </t>
    </r>
    <r>
      <rPr>
        <sz val="8"/>
        <rFont val="Calibri"/>
        <family val="2"/>
      </rPr>
      <t>Pentru acest indicator, țintele sunt procentuale și anuale, la jumătate de an fiind raportat doar numărătorul. La data de 30.06.2019, din 21 300 LSC estimați pentru acoperire de programele comprehensive de prevenire pentru LSC și clienții lor în anul 2019, pe ambele maluri, 2 198 LSC au fost testați pentru HIV și își cunosc rezultatele.</t>
    </r>
  </si>
  <si>
    <r>
      <rPr>
        <b/>
        <sz val="8"/>
        <rFont val="Calibri"/>
        <family val="2"/>
      </rPr>
      <t>Date preliminare pentru anul 2019.</t>
    </r>
    <r>
      <rPr>
        <sz val="8"/>
        <rFont val="Calibri"/>
        <family val="2"/>
      </rPr>
      <t xml:space="preserve"> Pentru acest indicator, țintele sunt procentuale și anuale, la jumătate de an fiind raportat doar numărătorul. La data de 30.06.2019, din 21 300 LSC estimați pentru acoperire de programele comprehensive de prevenire pentru LSC și clienții lor în anul 2019, pe ambele maluri, 4 767 LSC au primit cel puțin două servicii, unul din care a fost distribuirea de prezervative.                                                      </t>
    </r>
  </si>
  <si>
    <r>
      <rPr>
        <b/>
        <sz val="8"/>
        <rFont val="Calibri"/>
        <family val="2"/>
      </rPr>
      <t>Date preliminare pentru anul 2019.</t>
    </r>
    <r>
      <rPr>
        <sz val="8"/>
        <rFont val="Calibri"/>
        <family val="2"/>
      </rPr>
      <t xml:space="preserve"> Pentru acest indicator, țintele sunt procentuale și anuale, la jumătate de an fiind raportat doar numărătorul. La data de 30.06.2019, din 36 900 CDI estimați pentru acoperire de programele de prevenire pentru CDI și partenerii lor în anul 2019, pe ambele maluri, 11 582 CDI au primit cel puțin două servicii, unul din care a fost schimbul de seringi.                                                                                                                                           </t>
    </r>
  </si>
  <si>
    <r>
      <rPr>
        <b/>
        <sz val="8"/>
        <rFont val="Calibri"/>
        <family val="2"/>
      </rPr>
      <t>Date preliminare pentru anul 2019.</t>
    </r>
    <r>
      <rPr>
        <sz val="8"/>
        <rFont val="Calibri"/>
        <family val="2"/>
      </rPr>
      <t xml:space="preserve"> Pentru acest indicator, țintele sunt procentuale și anuale, la jumătate de an fiind raportat doar numărătorul. La data de 30.06.2019,  din 36 900 CDI estimați pentru acoperire de programele de prevenire pentru CDI și partenerii lor în anul 2019, pe ambele maluri, 4 760 CDI au fost testați pentru HIV și își cunosc rezultatele.        </t>
    </r>
  </si>
  <si>
    <r>
      <rPr>
        <b/>
        <sz val="8"/>
        <rFont val="Calibri"/>
        <family val="2"/>
      </rPr>
      <t xml:space="preserve">Date preliminare pentru anul 2019. </t>
    </r>
    <r>
      <rPr>
        <sz val="8"/>
        <rFont val="Calibri"/>
        <family val="2"/>
      </rPr>
      <t xml:space="preserve">Pentru acest indicator, țintele sunt procentuale și anuale, la jumătate de an fiind raportat doar numărătorul. La data de 30.06.2019, numărul pacienților în terapie ARV a fost de 6 296 persoane, dintre care: 4 404 - pe malul drept (4 298 adulți și 106 copii (&lt;15 ani), 2 337 bărbați și 2 067 femei) și 1 892 persoane - pe malul stâng al Nistrului, inclusiv 1 861 adulți și 31 copii (&lt;15 ani), 943 bărbați și 949 femei.  
Dezagregare:
- Bărbați: 3 280 
- Femei: 3 016
- Adulți (15+): 6 159
- Copii (&lt;15): 137
</t>
    </r>
  </si>
  <si>
    <r>
      <rPr>
        <b/>
        <sz val="8"/>
        <rFont val="Calibri"/>
        <family val="2"/>
      </rPr>
      <t>Date finale pentru anul 2018.</t>
    </r>
    <r>
      <rPr>
        <sz val="8"/>
        <rFont val="Calibri"/>
        <family val="2"/>
      </rPr>
      <t xml:space="preserve"> 172 persoane au decedat de SIDA în anul 2018 (4,27 decese la 100 000 persoane). 
Notă - Datele pentru acest indicator sunt pentru a. 2018, pentru ambele maluri, raportabile către 15 august 2019.
</t>
    </r>
  </si>
  <si>
    <t>În conformitate cu Acordul de Grant, au fost identificare 2 condiții, după cum urmează: 
-Creșterea graduală a finanțării din sursele interne și asugurarea unei cofinanțări de 15% (sau 2.384.508 Euro) din valoarea totală a Grantului pentru anii 2017-2019 (15.896.721 Euro) din sursele interne -  Informația este disponibilă anual și se va raporta în următoarea perioadă.
-Asigurarea cooperării cu Comitetul de Lumină Verde(GLC), inclusiv prin bugetarea și autorizarea transferului cotizațiilor anuale de maximum 50.000 USD - Suma bugetată este dedusă din debursări de către FG. Pentru perioada raportată, plata nu a fost efectuată de către FG.</t>
  </si>
  <si>
    <t xml:space="preserve">Componenta TB: Obiectivul 1 „Asigurarea accesului universal la diagnosticul la timp şi de calitate al tuturor formelor de tuberculoză, inclusiv celor cu TB-M/EDR” - variația se datorează, în mare parte, în mare parte, economiilor acumulate în rezultatul procurării unor cantități mai mici de medii nutritive, conform solicitării Beneficiarului, și replanificării schemei de livrare a acestor tranșe (de la 45 la 60 zile între ele).  
Obiectivul 2 „Asigurarea accesului universal la tratamentul calitativ pentru toate formele de TB, inclusiv cu TB-M/EDR” - variația se datorează (i) achiziționării unor cantități mai mici de medicamente antituberculoase pentru tratamentul pacienților cu TB-M/EDR, în rezultatul evaluării stocurilor existente și estimării necesităților; și (ii) plății amânate a taxelor GLC de către FG.                                                                                                                                                                                                                    Componenta HIV/SIDA: Obiectivul 1 „Sporirea accesului la servicii de prevenire a infecției HIV, pe bază de dovezi” - variația se datorează, în mare parte, economiilor acumulate la procurarea consumabilelor necesare pentru realizarea activităților de prevenire HIV, precum și a plăților executate în avans pentru procurarea acestor consumabile, inclusiv procurarea de produse medicale pentru organizarea Studiului Integrat Bio-Comportamental în rândul GRSI (IBBS) 2019-2020.  
</t>
  </si>
  <si>
    <t>Componenta TB: Acordul de Sub-recipient cu IMSP IFP ”Chiril Draganiuc” (Amendamentul nr. 1 din 02/01/2019 la contractul MDA/C/T/SR/01 din 09.02.2018), prevede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precum și realizarea cursurilor de instruire.                                                          Componenta HIV/SIDA: Acordul de Sub-recipient cu AO „Inițiativa Pozitivă” (contract nr. SR-IP-02 din 02.01.2019), prevede susținerea campaniilor de advocacy pentru creșterea accesului la servicii de testare, reducere a stigmei și discriminării, sustenabilitate a programelor desfășurate și serviciilor acordate; oferirea de mini grant-uri pentru ONG-uri privind monitorizarea comunităților și gradului de răspundere socială la nivel local; elaborarea, editarea și distribuirea materialelor informaționale și educaționale despre infecția HIV/SIDA pentru grupurile țintă: CDI/LSC/BSB/PTH.</t>
  </si>
  <si>
    <t>În perioada raportată, Sub-Recipienții au prezentat cîte două rapoarte trimestriale (narative și financiare), în conformitate cu acordurile semnate.</t>
  </si>
  <si>
    <t xml:space="preserve">Variația dintre bugetul aprobat și cheltuielile cumulative, se datorează, în mare parte:    -- la componenta TB - (i) economiilor acumulate în rezultatul procurării unor cantități mai mici de medii nutritive, conform solicitării Beneficiarului, și replanificării schemei de livrare a acestora; și (ii) achiziționării unor cantități mai mici de medicamente antituberculoase pentru tratamentul pacienților cu TB-M/EDR, în rezultatul evaluării stocurilor existente și estimării necesităților;                                                                                                              -- la componenta HIV/SIDA - economiilor acumulate la procurarea consumabilelor necesare pentru realizarea activităților de prevenire HIV, precum și a plăților executate în avans pentru procurarea acestor consumabile, inclusiv procurarea de produse medicale pentru organizarea Studiului Integrat Bio-Comportamental în rândul GRSI (IBBS) 2019-2020.  </t>
  </si>
  <si>
    <r>
      <rPr>
        <b/>
        <sz val="8"/>
        <rFont val="Calibri"/>
        <family val="2"/>
      </rPr>
      <t xml:space="preserve">Date finale pentru anul 2018. </t>
    </r>
    <r>
      <rPr>
        <sz val="8"/>
        <rFont val="Calibri"/>
        <family val="2"/>
      </rPr>
      <t xml:space="preserve">3 019 cazuri noi și recidive au fost notificate și acoperite cu tratament în anul 2018 (toate formele TB - bacteriologic confirmate și diagnosticate clinic), în raport cu 3 500 cazuri estimate de către OMS pentru perioada respectivă.                                                                                                                     Notă - Indicatorul se raportează anual. Datele finale (numitorul) privind numărul estimat de cazuri TB, pentru anul 2018, vor fi disponibile după publicarea raportului anual al OMS. </t>
    </r>
  </si>
  <si>
    <t>Componenta TB: Analiza stocului medicamentelor antituberculoase de linia a II și a III, a numărului de pacienți în tratament, arată prezența unui stoc între 4 și 8 luni, pentru preparatele de bază. În baza estimărilor respective, comanda ulterioară va fi plasată în luna octombrie 2019.                                                                                                                             Componenta HIV/SIDA: Stocul de medicamente ARV disponibil acoperă estimativ perioada de 6-7 luni. Comanda pentru achiziționarea medicamentelor ARV din sursele FG, destinate acoperirii necesităților PN HIV în anul 2020, urmează a fi plasată în luna octombrie 2019.</t>
  </si>
  <si>
    <r>
      <rPr>
        <b/>
        <sz val="8"/>
        <rFont val="Calibri"/>
        <family val="2"/>
      </rPr>
      <t>Date finale pentru anul 2018.</t>
    </r>
    <r>
      <rPr>
        <sz val="8"/>
        <rFont val="Calibri"/>
        <family val="2"/>
      </rPr>
      <t xml:space="preserve"> 763 din 879 pacienți HIV+ care au inițiat TARV pe parcursul a. 2017 erau în viață și în tratament ARV 12 luni după inițiere.                                                                                                                              Notă - Indicatorul se raportează anual. Datele pentru acest indicator sunt pentru a. 2018, raportabile către 15.08.2019.                                                                                                                                                                              Dezagregare:
Bărbați:  84% (409/487)
Femei:   90.3% (354/392)
Adulți (15+): 86.6% (752/868)
Copii (&lt;15): 100% (11/11)</t>
    </r>
    <r>
      <rPr>
        <b/>
        <sz val="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</si>
</sst>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s>
  <fonts count="149">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theme="1"/>
      <name val="Calibri"/>
      <family val="2"/>
    </font>
    <font>
      <sz val="22"/>
      <color theme="0"/>
      <name val="Calibri"/>
      <family val="2"/>
      <charset val="204"/>
    </font>
    <font>
      <sz val="14"/>
      <color theme="0"/>
      <name val="Calibri"/>
      <family val="2"/>
    </font>
    <font>
      <i/>
      <sz val="11"/>
      <name val="Calibri"/>
      <family val="2"/>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1"/>
      <color rgb="FF7030A0"/>
      <name val="Calibri"/>
      <family val="2"/>
      <scheme val="minor"/>
    </font>
    <font>
      <sz val="11"/>
      <name val="Calibri"/>
      <family val="2"/>
      <charset val="204"/>
      <scheme val="minor"/>
    </font>
    <font>
      <sz val="9"/>
      <name val="Calibri"/>
      <family val="2"/>
    </font>
    <font>
      <sz val="8"/>
      <name val="Calibri"/>
      <family val="2"/>
      <charset val="204"/>
    </font>
    <font>
      <sz val="7.7"/>
      <name val="Calibri"/>
      <family val="2"/>
      <charset val="204"/>
      <scheme val="minor"/>
    </font>
    <font>
      <sz val="10"/>
      <color rgb="FFFF0000"/>
      <name val="Calibri"/>
      <family val="2"/>
    </font>
    <font>
      <sz val="9"/>
      <name val="Calibri"/>
      <family val="2"/>
      <scheme val="minor"/>
    </font>
    <font>
      <sz val="7.7"/>
      <name val="Calibri"/>
      <family val="2"/>
    </font>
    <font>
      <sz val="11"/>
      <color rgb="FFFF0000"/>
      <name val="Calibri"/>
      <family val="2"/>
    </font>
    <font>
      <b/>
      <sz val="12"/>
      <color rgb="FFFF0000"/>
      <name val="Calibri"/>
      <family val="2"/>
      <charset val="204"/>
    </font>
    <font>
      <sz val="11"/>
      <color rgb="FFFF0000"/>
      <name val="Arial"/>
      <family val="2"/>
    </font>
    <font>
      <sz val="11"/>
      <color theme="0" tint="-4.9989318521683403E-2"/>
      <name val="Calibri"/>
      <family val="2"/>
    </font>
    <font>
      <sz val="11"/>
      <color theme="0" tint="-0.14999847407452621"/>
      <name val="Calibri"/>
      <family val="2"/>
      <scheme val="minor"/>
    </font>
    <font>
      <sz val="11"/>
      <color theme="0" tint="-0.249977111117893"/>
      <name val="Calibri"/>
      <family val="2"/>
      <scheme val="minor"/>
    </font>
    <font>
      <b/>
      <sz val="11"/>
      <color theme="0" tint="-0.249977111117893"/>
      <name val="Calibri"/>
      <family val="2"/>
      <scheme val="minor"/>
    </font>
    <font>
      <b/>
      <sz val="10"/>
      <color theme="1"/>
      <name val="Calibri"/>
      <family val="2"/>
      <scheme val="minor"/>
    </font>
    <font>
      <b/>
      <sz val="11"/>
      <color theme="1"/>
      <name val="Calibri"/>
      <family val="2"/>
      <scheme val="minor"/>
    </font>
    <font>
      <b/>
      <sz val="11"/>
      <color rgb="FFFF0000"/>
      <name val="Calibri"/>
      <family val="2"/>
      <scheme val="minor"/>
    </font>
    <font>
      <sz val="11"/>
      <color rgb="FF00B050"/>
      <name val="Arial"/>
      <family val="2"/>
    </font>
    <font>
      <b/>
      <sz val="11"/>
      <color rgb="FF00B050"/>
      <name val="Arial"/>
      <family val="2"/>
    </font>
    <font>
      <sz val="11"/>
      <color theme="0" tint="-4.9989318521683403E-2"/>
      <name val="Calibri"/>
      <family val="2"/>
      <scheme val="minor"/>
    </font>
    <font>
      <b/>
      <sz val="11"/>
      <name val="Calibri"/>
      <family val="2"/>
      <scheme val="minor"/>
    </font>
    <font>
      <sz val="11"/>
      <color theme="0"/>
      <name val="Calibri"/>
      <family val="2"/>
    </font>
    <font>
      <sz val="11"/>
      <color theme="0"/>
      <name val="Calibri"/>
      <family val="2"/>
      <scheme val="minor"/>
    </font>
    <font>
      <sz val="8"/>
      <color rgb="FFFF0000"/>
      <name val="Calibri"/>
      <family val="2"/>
    </font>
    <font>
      <sz val="8"/>
      <color theme="1"/>
      <name val="Calibri"/>
      <family val="2"/>
      <scheme val="minor"/>
    </font>
    <font>
      <sz val="8"/>
      <color indexed="9"/>
      <name val="Calibri"/>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gray0625">
        <fgColor theme="9"/>
        <bgColor theme="0" tint="-4.9989318521683403E-2"/>
      </patternFill>
    </fill>
    <fill>
      <patternFill patternType="gray0625">
        <fgColor indexed="52"/>
        <bgColor theme="0" tint="-4.9989318521683403E-2"/>
      </patternFill>
    </fill>
  </fills>
  <borders count="229">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thin">
        <color indexed="16"/>
      </left>
      <right style="thin">
        <color indexed="16"/>
      </right>
      <top style="thin">
        <color indexed="16"/>
      </top>
      <bottom style="thin">
        <color indexed="64"/>
      </bottom>
      <diagonal/>
    </border>
    <border>
      <left style="medium">
        <color indexed="51"/>
      </left>
      <right/>
      <top/>
      <bottom/>
      <diagonal/>
    </border>
    <border>
      <left style="thin">
        <color indexed="64"/>
      </left>
      <right style="medium">
        <color indexed="51"/>
      </right>
      <top style="thin">
        <color theme="1"/>
      </top>
      <bottom/>
      <diagonal/>
    </border>
    <border>
      <left style="thin">
        <color indexed="64"/>
      </left>
      <right style="medium">
        <color indexed="51"/>
      </right>
      <top/>
      <bottom style="thin">
        <color indexed="64"/>
      </bottom>
      <diagonal/>
    </border>
    <border>
      <left style="thin">
        <color indexed="64"/>
      </left>
      <right style="medium">
        <color indexed="51"/>
      </right>
      <top style="thin">
        <color indexed="64"/>
      </top>
      <bottom/>
      <diagonal/>
    </border>
    <border>
      <left style="thin">
        <color indexed="64"/>
      </left>
      <right style="medium">
        <color indexed="51"/>
      </right>
      <top/>
      <bottom style="thin">
        <color theme="1"/>
      </bottom>
      <diagonal/>
    </border>
    <border>
      <left style="medium">
        <color indexed="51"/>
      </left>
      <right style="medium">
        <color indexed="51"/>
      </right>
      <top style="thin">
        <color theme="1"/>
      </top>
      <bottom/>
      <diagonal/>
    </border>
    <border>
      <left style="medium">
        <color indexed="51"/>
      </left>
      <right style="medium">
        <color indexed="51"/>
      </right>
      <top/>
      <bottom style="thin">
        <color theme="1"/>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04"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04" fillId="0" borderId="0"/>
    <xf numFmtId="164" fontId="104" fillId="0" borderId="0"/>
    <xf numFmtId="164" fontId="104" fillId="0" borderId="0"/>
    <xf numFmtId="164" fontId="104" fillId="0" borderId="0"/>
    <xf numFmtId="170" fontId="45" fillId="0" borderId="0"/>
    <xf numFmtId="9" fontId="3" fillId="0" borderId="0" applyFont="0" applyFill="0" applyBorder="0" applyAlignment="0" applyProtection="0"/>
    <xf numFmtId="164" fontId="104"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04" fillId="0" borderId="1" applyNumberFormat="0" applyFill="0" applyAlignment="0" applyProtection="0"/>
  </cellStyleXfs>
  <cellXfs count="936">
    <xf numFmtId="170" fontId="0" fillId="0" borderId="0" xfId="0"/>
    <xf numFmtId="164" fontId="9" fillId="0" borderId="0" xfId="4" applyFont="1" applyFill="1" applyAlignment="1">
      <alignment vertical="center"/>
    </xf>
    <xf numFmtId="170" fontId="0" fillId="0" borderId="0" xfId="0" applyBorder="1" applyProtection="1"/>
    <xf numFmtId="170" fontId="0" fillId="0" borderId="0" xfId="0" applyProtection="1"/>
    <xf numFmtId="164" fontId="15" fillId="0" borderId="0" xfId="4" applyFont="1" applyFill="1" applyAlignment="1" applyProtection="1">
      <alignment vertical="center"/>
    </xf>
    <xf numFmtId="170" fontId="14" fillId="0" borderId="0" xfId="0" applyFont="1" applyProtection="1"/>
    <xf numFmtId="164" fontId="12" fillId="0" borderId="0" xfId="15" applyFont="1" applyFill="1" applyAlignment="1" applyProtection="1"/>
    <xf numFmtId="164" fontId="12" fillId="0" borderId="0" xfId="15" applyFont="1" applyFill="1" applyAlignment="1" applyProtection="1">
      <alignment horizontal="center"/>
    </xf>
    <xf numFmtId="164" fontId="12" fillId="0" borderId="0" xfId="15" applyFont="1" applyFill="1" applyAlignment="1" applyProtection="1">
      <alignment horizontal="right"/>
    </xf>
    <xf numFmtId="164" fontId="12" fillId="0" borderId="0" xfId="15" applyFont="1" applyFill="1" applyBorder="1" applyAlignment="1" applyProtection="1">
      <alignment horizontal="center"/>
    </xf>
    <xf numFmtId="164" fontId="104" fillId="0" borderId="0" xfId="14" applyProtection="1"/>
    <xf numFmtId="164" fontId="8" fillId="0" borderId="0" xfId="14" applyFont="1" applyProtection="1"/>
    <xf numFmtId="170" fontId="11" fillId="0" borderId="0" xfId="14" applyNumberFormat="1" applyFont="1" applyBorder="1" applyProtection="1"/>
    <xf numFmtId="164" fontId="104" fillId="0" borderId="0" xfId="16" applyProtection="1"/>
    <xf numFmtId="164" fontId="104" fillId="0" borderId="0" xfId="16" applyFill="1" applyBorder="1" applyAlignment="1" applyProtection="1">
      <alignment horizontal="left"/>
    </xf>
    <xf numFmtId="170" fontId="0" fillId="0" borderId="0" xfId="0" applyFill="1" applyBorder="1" applyProtection="1"/>
    <xf numFmtId="164" fontId="104" fillId="0" borderId="0" xfId="16" applyFill="1" applyBorder="1" applyProtection="1"/>
    <xf numFmtId="170" fontId="8" fillId="0" borderId="0" xfId="0" applyFont="1" applyProtection="1"/>
    <xf numFmtId="164" fontId="8" fillId="0" borderId="0" xfId="16" applyFont="1" applyProtection="1"/>
    <xf numFmtId="170" fontId="0" fillId="0" borderId="0" xfId="0" applyBorder="1"/>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70" fontId="0" fillId="0" borderId="2" xfId="0" applyBorder="1" applyAlignment="1">
      <alignment horizontal="center"/>
    </xf>
    <xf numFmtId="170" fontId="34" fillId="0" borderId="0" xfId="0" applyFont="1"/>
    <xf numFmtId="170" fontId="34" fillId="0" borderId="0" xfId="0" applyFont="1" applyAlignment="1">
      <alignment horizontal="right"/>
    </xf>
    <xf numFmtId="170" fontId="34" fillId="0" borderId="0" xfId="0" applyFont="1" applyBorder="1"/>
    <xf numFmtId="170" fontId="36" fillId="0" borderId="0" xfId="0" applyFont="1"/>
    <xf numFmtId="170" fontId="34" fillId="0" borderId="0" xfId="0" applyNumberFormat="1" applyFont="1" applyBorder="1"/>
    <xf numFmtId="170" fontId="0" fillId="0" borderId="0" xfId="0" applyFill="1"/>
    <xf numFmtId="170" fontId="0" fillId="0" borderId="2" xfId="0" applyBorder="1"/>
    <xf numFmtId="170" fontId="0" fillId="0" borderId="0" xfId="0" applyFill="1" applyBorder="1" applyAlignment="1">
      <alignment horizontal="center"/>
    </xf>
    <xf numFmtId="170" fontId="8" fillId="0" borderId="0" xfId="0" applyFont="1" applyFill="1" applyBorder="1" applyAlignment="1" applyProtection="1">
      <alignment horizontal="center"/>
    </xf>
    <xf numFmtId="170" fontId="16" fillId="0" borderId="0" xfId="0" applyFont="1" applyFill="1" applyAlignment="1" applyProtection="1"/>
    <xf numFmtId="170" fontId="8" fillId="0" borderId="0" xfId="0" applyFont="1" applyAlignment="1" applyProtection="1">
      <alignment horizontal="left" indent="1"/>
    </xf>
    <xf numFmtId="170" fontId="11" fillId="0" borderId="0" xfId="0" applyFont="1" applyAlignment="1" applyProtection="1">
      <alignment horizontal="left" indent="1"/>
    </xf>
    <xf numFmtId="170" fontId="8" fillId="0" borderId="0" xfId="0" applyFont="1" applyFill="1" applyBorder="1" applyProtection="1"/>
    <xf numFmtId="164" fontId="47" fillId="0" borderId="0" xfId="14" applyFont="1" applyProtection="1"/>
    <xf numFmtId="164" fontId="47" fillId="0" borderId="0" xfId="16" applyFont="1" applyProtection="1"/>
    <xf numFmtId="170" fontId="47" fillId="0" borderId="2" xfId="0" applyFont="1" applyFill="1" applyBorder="1" applyAlignment="1" applyProtection="1">
      <alignment horizontal="center"/>
    </xf>
    <xf numFmtId="170" fontId="47" fillId="0" borderId="2" xfId="0" applyFont="1" applyFill="1" applyBorder="1" applyProtection="1"/>
    <xf numFmtId="164" fontId="47" fillId="0" borderId="2" xfId="16" applyFont="1" applyBorder="1" applyProtection="1"/>
    <xf numFmtId="170" fontId="48" fillId="0" borderId="2" xfId="0" applyFont="1" applyBorder="1" applyAlignment="1" applyProtection="1">
      <alignment horizontal="left" indent="1"/>
    </xf>
    <xf numFmtId="170" fontId="49" fillId="0" borderId="2" xfId="0" applyFont="1" applyBorder="1"/>
    <xf numFmtId="170" fontId="50" fillId="2" borderId="2" xfId="0" applyFont="1" applyFill="1" applyBorder="1" applyAlignment="1" applyProtection="1">
      <alignment horizontal="center"/>
    </xf>
    <xf numFmtId="170" fontId="50" fillId="2" borderId="2" xfId="0" applyFont="1" applyFill="1" applyBorder="1" applyAlignment="1">
      <alignment horizontal="center"/>
    </xf>
    <xf numFmtId="170" fontId="26" fillId="0" borderId="0" xfId="0" applyFont="1" applyAlignment="1">
      <alignment horizontal="center"/>
    </xf>
    <xf numFmtId="164" fontId="42" fillId="0" borderId="0" xfId="13" applyFont="1" applyFill="1" applyAlignment="1">
      <alignment vertical="center"/>
    </xf>
    <xf numFmtId="170" fontId="7" fillId="0" borderId="0" xfId="0" applyFont="1"/>
    <xf numFmtId="170" fontId="36" fillId="0" borderId="0" xfId="0" applyFont="1" applyFill="1"/>
    <xf numFmtId="170" fontId="53" fillId="2" borderId="4" xfId="0" applyFont="1" applyFill="1" applyBorder="1" applyAlignment="1">
      <alignment vertical="center"/>
    </xf>
    <xf numFmtId="170" fontId="51" fillId="0" borderId="0" xfId="18" applyNumberFormat="1" applyFont="1" applyFill="1" applyBorder="1" applyAlignment="1">
      <alignment horizontal="center" vertical="center" wrapText="1"/>
    </xf>
    <xf numFmtId="170" fontId="51" fillId="4" borderId="5" xfId="18" applyNumberFormat="1" applyFont="1" applyFill="1" applyBorder="1" applyAlignment="1">
      <alignment horizontal="center" vertical="center" wrapText="1"/>
    </xf>
    <xf numFmtId="170" fontId="54" fillId="0" borderId="0" xfId="0" applyFont="1" applyFill="1" applyBorder="1" applyAlignment="1" applyProtection="1">
      <alignment horizontal="left"/>
    </xf>
    <xf numFmtId="15" fontId="0" fillId="0" borderId="0" xfId="0" applyNumberFormat="1"/>
    <xf numFmtId="170" fontId="0" fillId="0" borderId="2" xfId="0" quotePrefix="1" applyNumberFormat="1" applyBorder="1"/>
    <xf numFmtId="164" fontId="24" fillId="0" borderId="6" xfId="23" applyFont="1" applyBorder="1" applyAlignment="1" applyProtection="1"/>
    <xf numFmtId="164" fontId="104" fillId="0" borderId="6" xfId="23" applyFill="1" applyBorder="1" applyAlignment="1" applyProtection="1">
      <alignment vertical="center"/>
    </xf>
    <xf numFmtId="164" fontId="3" fillId="0" borderId="6" xfId="23" applyFont="1" applyFill="1" applyBorder="1" applyAlignment="1" applyProtection="1">
      <alignment vertical="center"/>
    </xf>
    <xf numFmtId="164" fontId="24" fillId="0" borderId="0" xfId="23" applyFont="1" applyBorder="1" applyAlignment="1" applyProtection="1"/>
    <xf numFmtId="164" fontId="104"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70" fontId="25" fillId="0" borderId="9" xfId="0" applyFont="1" applyBorder="1" applyAlignment="1" applyProtection="1">
      <alignment horizontal="center"/>
    </xf>
    <xf numFmtId="166" fontId="8" fillId="0" borderId="0" xfId="0" applyNumberFormat="1" applyFont="1" applyFill="1" applyBorder="1" applyAlignment="1" applyProtection="1"/>
    <xf numFmtId="10" fontId="4" fillId="0" borderId="0" xfId="19" applyNumberFormat="1" applyFont="1" applyFill="1" applyBorder="1" applyAlignment="1" applyProtection="1">
      <alignment horizontal="center"/>
    </xf>
    <xf numFmtId="170" fontId="4" fillId="0" borderId="0" xfId="0" applyFont="1" applyFill="1" applyBorder="1" applyAlignment="1" applyProtection="1"/>
    <xf numFmtId="170" fontId="19" fillId="0" borderId="0" xfId="0" applyFont="1" applyFill="1" applyBorder="1" applyAlignment="1" applyProtection="1">
      <alignment horizontal="centerContinuous"/>
    </xf>
    <xf numFmtId="170" fontId="0" fillId="0" borderId="0" xfId="0" applyFill="1" applyBorder="1" applyAlignment="1" applyProtection="1">
      <alignment horizontal="centerContinuous"/>
    </xf>
    <xf numFmtId="15" fontId="19" fillId="0" borderId="10" xfId="0" applyNumberFormat="1" applyFont="1" applyFill="1" applyBorder="1" applyAlignment="1" applyProtection="1"/>
    <xf numFmtId="170" fontId="19" fillId="0" borderId="10" xfId="0" applyFont="1" applyFill="1" applyBorder="1" applyProtection="1"/>
    <xf numFmtId="170" fontId="19" fillId="0" borderId="11" xfId="0" applyFont="1" applyFill="1" applyBorder="1" applyProtection="1"/>
    <xf numFmtId="164" fontId="31" fillId="0" borderId="12" xfId="23" applyFont="1" applyBorder="1" applyAlignment="1" applyProtection="1"/>
    <xf numFmtId="164" fontId="32" fillId="0" borderId="12" xfId="23" applyFont="1" applyFill="1" applyBorder="1" applyAlignment="1" applyProtection="1">
      <alignment vertical="center"/>
    </xf>
    <xf numFmtId="164" fontId="32" fillId="0" borderId="12"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Border="1" applyAlignment="1" applyProtection="1">
      <alignment horizontal="center"/>
    </xf>
    <xf numFmtId="170" fontId="7" fillId="0" borderId="13" xfId="0" applyFont="1" applyBorder="1" applyAlignment="1" applyProtection="1">
      <alignment horizontal="center"/>
    </xf>
    <xf numFmtId="170" fontId="7" fillId="0" borderId="13" xfId="0" applyFont="1" applyBorder="1" applyAlignment="1" applyProtection="1">
      <alignment horizontal="center" wrapText="1"/>
    </xf>
    <xf numFmtId="170" fontId="7" fillId="0" borderId="14" xfId="0" applyFont="1" applyBorder="1" applyAlignment="1" applyProtection="1">
      <alignment horizontal="center"/>
    </xf>
    <xf numFmtId="170" fontId="7" fillId="0" borderId="15" xfId="0" applyFont="1" applyBorder="1" applyAlignment="1" applyProtection="1">
      <alignment horizontal="center"/>
    </xf>
    <xf numFmtId="170" fontId="7" fillId="0" borderId="16" xfId="0" applyFont="1" applyBorder="1" applyAlignment="1" applyProtection="1">
      <alignment horizontal="center"/>
    </xf>
    <xf numFmtId="1" fontId="14" fillId="3" borderId="17" xfId="0" applyNumberFormat="1" applyFont="1" applyFill="1" applyBorder="1" applyAlignment="1" applyProtection="1">
      <alignment horizontal="center"/>
    </xf>
    <xf numFmtId="170" fontId="0" fillId="0" borderId="18" xfId="0" applyBorder="1" applyProtection="1"/>
    <xf numFmtId="170" fontId="0" fillId="0" borderId="14" xfId="0" applyBorder="1" applyAlignment="1" applyProtection="1">
      <alignment horizontal="center"/>
    </xf>
    <xf numFmtId="170" fontId="0" fillId="0" borderId="16" xfId="0" applyBorder="1" applyAlignment="1" applyProtection="1">
      <alignment horizontal="center"/>
    </xf>
    <xf numFmtId="170" fontId="25" fillId="0" borderId="13" xfId="0" applyFont="1" applyBorder="1" applyAlignment="1" applyProtection="1">
      <alignment horizontal="center"/>
    </xf>
    <xf numFmtId="170" fontId="25" fillId="0" borderId="14" xfId="0" applyFont="1" applyBorder="1" applyAlignment="1" applyProtection="1">
      <alignment horizontal="center"/>
    </xf>
    <xf numFmtId="170" fontId="0" fillId="0" borderId="0" xfId="0" applyFill="1" applyBorder="1" applyAlignment="1" applyProtection="1">
      <alignment horizontal="center" wrapText="1"/>
    </xf>
    <xf numFmtId="164" fontId="72" fillId="0" borderId="0" xfId="1" applyFont="1" applyFill="1" applyBorder="1" applyProtection="1"/>
    <xf numFmtId="164" fontId="0" fillId="0" borderId="0" xfId="0" applyNumberFormat="1" applyFill="1" applyBorder="1" applyProtection="1"/>
    <xf numFmtId="164" fontId="46" fillId="0" borderId="19" xfId="23" applyFont="1" applyFill="1" applyBorder="1" applyAlignment="1" applyProtection="1"/>
    <xf numFmtId="164" fontId="32" fillId="0" borderId="19" xfId="23" applyFont="1" applyFill="1" applyBorder="1" applyAlignment="1" applyProtection="1">
      <alignment vertical="center"/>
    </xf>
    <xf numFmtId="164" fontId="21" fillId="0" borderId="0" xfId="0" applyNumberFormat="1" applyFont="1" applyAlignment="1" applyProtection="1">
      <alignment horizontal="right"/>
    </xf>
    <xf numFmtId="166" fontId="21" fillId="0" borderId="0" xfId="1" applyNumberFormat="1" applyFont="1" applyAlignment="1" applyProtection="1">
      <alignment horizontal="left"/>
    </xf>
    <xf numFmtId="15" fontId="21" fillId="0" borderId="0" xfId="0" applyNumberFormat="1" applyFont="1" applyAlignment="1" applyProtection="1">
      <alignment horizontal="left"/>
    </xf>
    <xf numFmtId="164" fontId="21" fillId="0" borderId="0" xfId="0" applyNumberFormat="1" applyFont="1" applyProtection="1"/>
    <xf numFmtId="164" fontId="21" fillId="0" borderId="0" xfId="0" applyNumberFormat="1" applyFont="1" applyBorder="1" applyProtection="1"/>
    <xf numFmtId="164" fontId="21" fillId="0" borderId="0" xfId="0" applyNumberFormat="1" applyFont="1" applyBorder="1" applyAlignment="1" applyProtection="1">
      <alignment horizontal="right"/>
    </xf>
    <xf numFmtId="166" fontId="21" fillId="0" borderId="0" xfId="1" applyNumberFormat="1" applyFont="1" applyBorder="1" applyAlignment="1" applyProtection="1">
      <alignment horizontal="left"/>
    </xf>
    <xf numFmtId="170" fontId="12" fillId="0" borderId="0" xfId="0" applyFont="1" applyBorder="1" applyAlignment="1" applyProtection="1">
      <alignment horizontal="center"/>
    </xf>
    <xf numFmtId="170" fontId="12" fillId="0" borderId="0" xfId="0" applyFont="1" applyAlignment="1" applyProtection="1">
      <alignment horizontal="center"/>
    </xf>
    <xf numFmtId="170" fontId="0" fillId="0" borderId="14" xfId="0" applyBorder="1" applyAlignment="1" applyProtection="1">
      <alignment horizontal="center" wrapText="1"/>
    </xf>
    <xf numFmtId="170" fontId="34" fillId="0" borderId="0" xfId="0" applyFont="1" applyProtection="1"/>
    <xf numFmtId="170" fontId="34" fillId="0" borderId="0" xfId="0" applyFont="1" applyAlignment="1" applyProtection="1">
      <alignment horizontal="right"/>
    </xf>
    <xf numFmtId="170" fontId="34" fillId="0" borderId="0" xfId="0" applyFont="1" applyBorder="1" applyProtection="1"/>
    <xf numFmtId="170" fontId="35" fillId="0" borderId="0" xfId="0" applyFont="1" applyBorder="1" applyAlignment="1" applyProtection="1">
      <alignment horizontal="left" vertical="center"/>
    </xf>
    <xf numFmtId="170" fontId="35" fillId="0" borderId="0" xfId="0" applyFont="1" applyBorder="1" applyAlignment="1" applyProtection="1">
      <alignment horizontal="left"/>
    </xf>
    <xf numFmtId="167" fontId="35" fillId="0" borderId="0" xfId="0" applyNumberFormat="1" applyFont="1" applyBorder="1" applyAlignment="1" applyProtection="1">
      <alignment horizontal="left"/>
    </xf>
    <xf numFmtId="170" fontId="36" fillId="0" borderId="0" xfId="0" applyFont="1" applyProtection="1"/>
    <xf numFmtId="170" fontId="37" fillId="0" borderId="0" xfId="0" applyFont="1" applyFill="1" applyBorder="1" applyAlignment="1" applyProtection="1">
      <alignment horizontal="right"/>
    </xf>
    <xf numFmtId="3" fontId="40" fillId="0" borderId="0" xfId="0" applyNumberFormat="1" applyFont="1" applyFill="1" applyBorder="1" applyAlignment="1" applyProtection="1">
      <alignment horizontal="right" vertical="center"/>
    </xf>
    <xf numFmtId="170" fontId="38" fillId="3" borderId="0" xfId="0" applyNumberFormat="1" applyFont="1" applyFill="1" applyBorder="1" applyAlignment="1" applyProtection="1">
      <alignment horizontal="right"/>
    </xf>
    <xf numFmtId="170" fontId="39" fillId="3" borderId="0" xfId="0" applyFont="1" applyFill="1" applyBorder="1" applyAlignment="1" applyProtection="1">
      <alignment horizontal="center" vertical="center"/>
    </xf>
    <xf numFmtId="170" fontId="43" fillId="0" borderId="0" xfId="0" applyFont="1" applyFill="1" applyBorder="1" applyAlignment="1" applyProtection="1">
      <alignment horizontal="center"/>
    </xf>
    <xf numFmtId="170" fontId="38" fillId="0" borderId="0" xfId="0" applyNumberFormat="1" applyFont="1" applyFill="1" applyBorder="1" applyAlignment="1" applyProtection="1">
      <alignment horizontal="right"/>
    </xf>
    <xf numFmtId="170" fontId="47" fillId="0" borderId="0" xfId="0" applyFont="1" applyFill="1" applyBorder="1" applyAlignment="1" applyProtection="1"/>
    <xf numFmtId="170" fontId="21" fillId="0" borderId="0" xfId="0" applyNumberFormat="1" applyFont="1" applyAlignment="1" applyProtection="1">
      <alignment horizontal="center"/>
    </xf>
    <xf numFmtId="170" fontId="21" fillId="0" borderId="0" xfId="0" applyFont="1" applyAlignment="1" applyProtection="1">
      <alignment horizontal="center"/>
    </xf>
    <xf numFmtId="15" fontId="21"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0" fillId="0" borderId="0" xfId="0" applyNumberFormat="1" applyFont="1" applyBorder="1" applyProtection="1"/>
    <xf numFmtId="3" fontId="8" fillId="3" borderId="0" xfId="0" applyNumberFormat="1" applyFont="1" applyFill="1" applyProtection="1"/>
    <xf numFmtId="165" fontId="8" fillId="3" borderId="0" xfId="0" applyNumberFormat="1" applyFont="1" applyFill="1" applyProtection="1"/>
    <xf numFmtId="170" fontId="21" fillId="0" borderId="23" xfId="0" applyFont="1" applyFill="1" applyBorder="1" applyAlignment="1" applyProtection="1">
      <alignment horizontal="center" wrapText="1"/>
    </xf>
    <xf numFmtId="170" fontId="0" fillId="0" borderId="24" xfId="0" applyBorder="1" applyProtection="1"/>
    <xf numFmtId="164" fontId="10" fillId="0" borderId="0" xfId="12" applyFont="1" applyFill="1" applyAlignment="1" applyProtection="1">
      <alignment horizontal="center" vertical="center"/>
    </xf>
    <xf numFmtId="164" fontId="13" fillId="0" borderId="25" xfId="20" applyFont="1" applyBorder="1" applyAlignment="1" applyProtection="1">
      <alignment horizontal="right"/>
    </xf>
    <xf numFmtId="164" fontId="62" fillId="0" borderId="0" xfId="0" applyNumberFormat="1" applyFont="1"/>
    <xf numFmtId="170" fontId="62" fillId="0" borderId="0" xfId="0" applyFont="1"/>
    <xf numFmtId="164" fontId="104" fillId="0" borderId="0" xfId="17" applyFill="1" applyBorder="1" applyAlignment="1" applyProtection="1">
      <alignment horizontal="center"/>
    </xf>
    <xf numFmtId="170" fontId="27" fillId="0" borderId="0" xfId="0" quotePrefix="1" applyFont="1" applyProtection="1"/>
    <xf numFmtId="164" fontId="64" fillId="0" borderId="19" xfId="23" applyFont="1" applyFill="1" applyBorder="1" applyAlignment="1" applyProtection="1"/>
    <xf numFmtId="164" fontId="5" fillId="0" borderId="19" xfId="23" applyFont="1" applyFill="1" applyBorder="1" applyAlignment="1" applyProtection="1">
      <alignment vertical="center"/>
    </xf>
    <xf numFmtId="170" fontId="60" fillId="0" borderId="27" xfId="0" applyFont="1" applyBorder="1" applyAlignment="1">
      <alignment vertical="center" wrapText="1"/>
    </xf>
    <xf numFmtId="170" fontId="2" fillId="0" borderId="30" xfId="0" applyFont="1" applyFill="1" applyBorder="1" applyAlignment="1" applyProtection="1">
      <alignment horizontal="center"/>
    </xf>
    <xf numFmtId="170" fontId="1" fillId="0" borderId="0" xfId="0" applyFont="1"/>
    <xf numFmtId="170" fontId="67" fillId="0" borderId="0" xfId="0" applyFont="1"/>
    <xf numFmtId="164" fontId="69" fillId="0" borderId="19" xfId="23" applyFont="1" applyFill="1" applyBorder="1" applyAlignment="1" applyProtection="1">
      <alignment vertical="center"/>
    </xf>
    <xf numFmtId="170" fontId="68" fillId="0" borderId="0" xfId="0" applyFont="1" applyFill="1"/>
    <xf numFmtId="15" fontId="29" fillId="0" borderId="0" xfId="0" applyNumberFormat="1" applyFont="1" applyAlignment="1" applyProtection="1">
      <alignment horizontal="center"/>
    </xf>
    <xf numFmtId="166" fontId="0" fillId="0" borderId="0" xfId="0" applyNumberFormat="1" applyProtection="1"/>
    <xf numFmtId="170" fontId="74" fillId="0" borderId="0" xfId="0" applyFont="1" applyFill="1" applyBorder="1" applyAlignment="1" applyProtection="1">
      <alignment horizontal="right"/>
    </xf>
    <xf numFmtId="164" fontId="75" fillId="0" borderId="6" xfId="23" applyFont="1" applyFill="1" applyBorder="1" applyAlignment="1" applyProtection="1">
      <alignment horizontal="left" vertical="center"/>
    </xf>
    <xf numFmtId="170" fontId="76" fillId="0" borderId="0" xfId="0" applyFont="1" applyFill="1" applyBorder="1" applyProtection="1"/>
    <xf numFmtId="170" fontId="74" fillId="0" borderId="0" xfId="0" applyFont="1" applyBorder="1" applyProtection="1"/>
    <xf numFmtId="3" fontId="4" fillId="0" borderId="0" xfId="0" applyNumberFormat="1" applyFont="1" applyAlignment="1" applyProtection="1">
      <alignment horizontal="right"/>
    </xf>
    <xf numFmtId="15" fontId="73" fillId="0" borderId="0" xfId="0" applyNumberFormat="1" applyFont="1" applyFill="1" applyBorder="1" applyAlignment="1" applyProtection="1">
      <alignment horizontal="left"/>
    </xf>
    <xf numFmtId="170" fontId="79" fillId="0" borderId="0" xfId="0" applyFont="1" applyFill="1" applyBorder="1" applyAlignment="1" applyProtection="1">
      <alignment horizontal="center" wrapText="1"/>
    </xf>
    <xf numFmtId="170" fontId="0" fillId="0" borderId="0" xfId="0" quotePrefix="1" applyProtection="1"/>
    <xf numFmtId="15" fontId="25" fillId="0" borderId="32"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64" fontId="84" fillId="0" borderId="0" xfId="4" applyFont="1" applyFill="1" applyAlignment="1" applyProtection="1">
      <alignment vertical="center"/>
    </xf>
    <xf numFmtId="170" fontId="85" fillId="0" borderId="0" xfId="0" applyFont="1" applyProtection="1"/>
    <xf numFmtId="170" fontId="85" fillId="0" borderId="0" xfId="0" applyFont="1" applyBorder="1" applyProtection="1"/>
    <xf numFmtId="170" fontId="0" fillId="0" borderId="0" xfId="0" applyBorder="1" applyAlignment="1" applyProtection="1"/>
    <xf numFmtId="170" fontId="0" fillId="0" borderId="0" xfId="0" applyAlignment="1" applyProtection="1"/>
    <xf numFmtId="170" fontId="71" fillId="0" borderId="0" xfId="0" applyFont="1" applyFill="1" applyBorder="1" applyAlignment="1" applyProtection="1">
      <alignment horizontal="center" vertical="center"/>
    </xf>
    <xf numFmtId="170" fontId="4" fillId="0" borderId="33" xfId="0" applyFont="1" applyBorder="1" applyAlignment="1" applyProtection="1"/>
    <xf numFmtId="170" fontId="4" fillId="0" borderId="34" xfId="0" applyFont="1" applyBorder="1" applyAlignment="1" applyProtection="1"/>
    <xf numFmtId="170" fontId="18" fillId="0" borderId="35" xfId="0" applyFont="1" applyBorder="1" applyAlignment="1" applyProtection="1">
      <alignment vertical="distributed"/>
    </xf>
    <xf numFmtId="15" fontId="20" fillId="0" borderId="36" xfId="0" applyNumberFormat="1" applyFont="1" applyFill="1" applyBorder="1" applyAlignment="1" applyProtection="1">
      <alignment horizontal="center" vertical="center" wrapText="1"/>
    </xf>
    <xf numFmtId="170" fontId="19" fillId="0" borderId="37" xfId="0" applyFont="1" applyFill="1" applyBorder="1" applyAlignment="1" applyProtection="1"/>
    <xf numFmtId="15" fontId="19" fillId="0" borderId="2" xfId="0" applyNumberFormat="1" applyFont="1" applyFill="1" applyBorder="1" applyAlignment="1" applyProtection="1">
      <alignment horizontal="center"/>
    </xf>
    <xf numFmtId="15" fontId="19" fillId="0" borderId="38" xfId="0" applyNumberFormat="1" applyFont="1" applyFill="1" applyBorder="1" applyAlignment="1" applyProtection="1">
      <alignment horizontal="center"/>
    </xf>
    <xf numFmtId="15" fontId="81" fillId="0" borderId="24" xfId="0" applyNumberFormat="1" applyFont="1" applyFill="1" applyBorder="1" applyAlignment="1" applyProtection="1">
      <alignment horizontal="center" wrapText="1"/>
    </xf>
    <xf numFmtId="15" fontId="81" fillId="0" borderId="39" xfId="0" applyNumberFormat="1" applyFont="1" applyFill="1" applyBorder="1" applyAlignment="1" applyProtection="1">
      <alignment horizontal="center" wrapText="1"/>
    </xf>
    <xf numFmtId="170" fontId="73" fillId="0" borderId="0" xfId="0" applyFont="1" applyFill="1" applyBorder="1" applyAlignment="1" applyProtection="1">
      <alignment horizontal="center"/>
    </xf>
    <xf numFmtId="170" fontId="78" fillId="0" borderId="0" xfId="0" applyFont="1" applyFill="1" applyBorder="1" applyAlignment="1" applyProtection="1">
      <alignment horizontal="center" vertical="center"/>
    </xf>
    <xf numFmtId="170" fontId="0" fillId="0" borderId="40" xfId="0" applyBorder="1" applyAlignment="1" applyProtection="1">
      <alignment horizontal="center"/>
    </xf>
    <xf numFmtId="170" fontId="0" fillId="0" borderId="24" xfId="0" applyFill="1" applyBorder="1" applyAlignment="1" applyProtection="1">
      <alignment horizontal="center"/>
    </xf>
    <xf numFmtId="170" fontId="1" fillId="0" borderId="23" xfId="0" applyFont="1" applyFill="1" applyBorder="1" applyAlignment="1" applyProtection="1">
      <alignment horizontal="center" wrapText="1"/>
    </xf>
    <xf numFmtId="170" fontId="1" fillId="0" borderId="39" xfId="0" applyFont="1" applyFill="1" applyBorder="1" applyAlignment="1" applyProtection="1">
      <alignment horizontal="center" wrapText="1"/>
    </xf>
    <xf numFmtId="170" fontId="51" fillId="0" borderId="41" xfId="0" applyFont="1" applyFill="1" applyBorder="1" applyAlignment="1" applyProtection="1">
      <alignment horizontal="center" vertical="center"/>
    </xf>
    <xf numFmtId="170" fontId="17" fillId="0" borderId="0" xfId="0" applyFont="1" applyProtection="1"/>
    <xf numFmtId="164" fontId="81" fillId="0" borderId="0" xfId="0" applyNumberFormat="1" applyFont="1" applyBorder="1" applyAlignment="1" applyProtection="1">
      <alignment vertical="center" wrapText="1"/>
    </xf>
    <xf numFmtId="170" fontId="81" fillId="0" borderId="0" xfId="0" applyFont="1" applyFill="1" applyBorder="1" applyAlignment="1" applyProtection="1">
      <alignment wrapText="1"/>
    </xf>
    <xf numFmtId="164" fontId="13" fillId="0" borderId="25" xfId="20" applyFont="1" applyFill="1" applyBorder="1" applyAlignment="1" applyProtection="1">
      <alignment horizontal="right"/>
    </xf>
    <xf numFmtId="170" fontId="27" fillId="0" borderId="42" xfId="0" applyFont="1" applyFill="1" applyBorder="1" applyAlignment="1" applyProtection="1">
      <alignment horizontal="center" wrapText="1"/>
    </xf>
    <xf numFmtId="170" fontId="21" fillId="0" borderId="0" xfId="0" applyFont="1" applyFill="1" applyBorder="1" applyAlignment="1" applyProtection="1">
      <alignment wrapText="1"/>
    </xf>
    <xf numFmtId="9" fontId="83" fillId="8" borderId="2" xfId="19" applyFont="1" applyFill="1" applyBorder="1" applyAlignment="1" applyProtection="1">
      <alignment horizontal="center" vertical="center" wrapText="1"/>
    </xf>
    <xf numFmtId="164" fontId="21" fillId="0" borderId="0" xfId="0" applyNumberFormat="1" applyFont="1" applyAlignment="1" applyProtection="1"/>
    <xf numFmtId="170" fontId="0" fillId="0" borderId="19" xfId="0" applyFill="1" applyBorder="1" applyProtection="1"/>
    <xf numFmtId="164" fontId="86" fillId="0" borderId="19" xfId="23" applyFont="1" applyFill="1" applyBorder="1" applyAlignment="1" applyProtection="1">
      <alignment vertical="center"/>
    </xf>
    <xf numFmtId="170" fontId="0" fillId="0" borderId="19" xfId="0" applyBorder="1" applyProtection="1"/>
    <xf numFmtId="9" fontId="8" fillId="0" borderId="0" xfId="19" applyFont="1" applyProtection="1"/>
    <xf numFmtId="14" fontId="17" fillId="6" borderId="25" xfId="20" applyNumberFormat="1" applyFont="1" applyFill="1" applyBorder="1" applyAlignment="1" applyProtection="1">
      <alignment horizontal="center" vertical="center"/>
    </xf>
    <xf numFmtId="164" fontId="17" fillId="6" borderId="25" xfId="20" applyFont="1" applyFill="1" applyBorder="1" applyAlignment="1" applyProtection="1">
      <alignment horizontal="center" vertical="center"/>
    </xf>
    <xf numFmtId="170" fontId="17" fillId="6" borderId="25" xfId="20" applyNumberFormat="1" applyFont="1" applyFill="1" applyBorder="1" applyAlignment="1" applyProtection="1">
      <alignment horizontal="center"/>
    </xf>
    <xf numFmtId="3" fontId="17" fillId="6" borderId="25" xfId="20" applyNumberFormat="1" applyFont="1" applyFill="1" applyBorder="1" applyAlignment="1" applyProtection="1">
      <alignment horizontal="center"/>
    </xf>
    <xf numFmtId="164" fontId="62" fillId="0" borderId="0" xfId="0" applyNumberFormat="1" applyFont="1" applyAlignment="1"/>
    <xf numFmtId="170" fontId="27" fillId="0" borderId="23" xfId="0" applyFont="1" applyFill="1" applyBorder="1" applyAlignment="1" applyProtection="1">
      <alignment horizontal="center" wrapText="1"/>
    </xf>
    <xf numFmtId="49" fontId="0" fillId="0" borderId="0" xfId="0" applyNumberFormat="1" applyProtection="1"/>
    <xf numFmtId="3" fontId="0" fillId="0" borderId="2" xfId="0" applyNumberFormat="1" applyFill="1" applyBorder="1" applyProtection="1"/>
    <xf numFmtId="4" fontId="0" fillId="0" borderId="0" xfId="0" applyNumberFormat="1" applyProtection="1"/>
    <xf numFmtId="170" fontId="0" fillId="0" borderId="50" xfId="0" applyFill="1" applyBorder="1" applyAlignment="1" applyProtection="1">
      <alignment horizontal="center"/>
    </xf>
    <xf numFmtId="164" fontId="93" fillId="0" borderId="0" xfId="16" applyFont="1" applyFill="1" applyBorder="1" applyProtection="1"/>
    <xf numFmtId="3" fontId="21" fillId="9" borderId="45" xfId="0" applyNumberFormat="1" applyFont="1" applyFill="1" applyBorder="1" applyAlignment="1" applyProtection="1">
      <protection locked="0"/>
    </xf>
    <xf numFmtId="3" fontId="21" fillId="9" borderId="51"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2" xfId="0" applyNumberFormat="1" applyFont="1" applyFill="1" applyBorder="1" applyAlignment="1" applyProtection="1"/>
    <xf numFmtId="170" fontId="0" fillId="9" borderId="2" xfId="0" applyFill="1" applyBorder="1" applyProtection="1"/>
    <xf numFmtId="170" fontId="0" fillId="6" borderId="2" xfId="0" applyFill="1" applyBorder="1" applyProtection="1"/>
    <xf numFmtId="49" fontId="18" fillId="0" borderId="57" xfId="0" applyNumberFormat="1" applyFont="1" applyFill="1" applyBorder="1" applyAlignment="1" applyProtection="1">
      <alignment vertical="center" wrapText="1"/>
    </xf>
    <xf numFmtId="170" fontId="63" fillId="0" borderId="58" xfId="0" applyNumberFormat="1" applyFont="1" applyFill="1" applyBorder="1" applyAlignment="1" applyProtection="1">
      <alignment horizontal="center" vertical="center" wrapText="1"/>
    </xf>
    <xf numFmtId="170" fontId="63" fillId="0" borderId="59" xfId="0" applyNumberFormat="1" applyFont="1" applyFill="1" applyBorder="1" applyAlignment="1" applyProtection="1">
      <alignment horizontal="center" vertical="center" wrapText="1"/>
    </xf>
    <xf numFmtId="170" fontId="0" fillId="0" borderId="61" xfId="0" applyBorder="1" applyAlignment="1" applyProtection="1"/>
    <xf numFmtId="170" fontId="0" fillId="0" borderId="2" xfId="0" applyNumberFormat="1" applyFill="1" applyBorder="1" applyProtection="1"/>
    <xf numFmtId="164" fontId="104" fillId="9" borderId="62" xfId="23" applyFill="1" applyBorder="1" applyAlignment="1" applyProtection="1">
      <alignment vertical="center"/>
    </xf>
    <xf numFmtId="170" fontId="0" fillId="0" borderId="12" xfId="0" applyBorder="1" applyProtection="1"/>
    <xf numFmtId="164" fontId="32" fillId="6" borderId="64" xfId="23" applyFont="1" applyFill="1" applyBorder="1" applyAlignment="1" applyProtection="1">
      <alignment horizontal="center" vertical="center"/>
    </xf>
    <xf numFmtId="164" fontId="32" fillId="0" borderId="65" xfId="23" applyFont="1" applyFill="1" applyBorder="1" applyAlignment="1" applyProtection="1">
      <alignment vertical="center"/>
    </xf>
    <xf numFmtId="170" fontId="0" fillId="0" borderId="66" xfId="0" applyNumberFormat="1" applyFill="1" applyBorder="1"/>
    <xf numFmtId="15" fontId="20" fillId="0" borderId="67" xfId="0" applyNumberFormat="1" applyFont="1" applyFill="1" applyBorder="1" applyAlignment="1" applyProtection="1">
      <alignment horizontal="center" vertical="center" wrapText="1"/>
    </xf>
    <xf numFmtId="170" fontId="0" fillId="0" borderId="2" xfId="0" quotePrefix="1" applyNumberFormat="1" applyBorder="1" applyAlignment="1">
      <alignment horizontal="center"/>
    </xf>
    <xf numFmtId="168" fontId="0" fillId="0" borderId="2" xfId="0" applyNumberFormat="1" applyFill="1" applyBorder="1" applyAlignment="1" applyProtection="1">
      <alignment horizontal="center"/>
    </xf>
    <xf numFmtId="164" fontId="47" fillId="0" borderId="2" xfId="16" applyFont="1" applyBorder="1" applyAlignment="1" applyProtection="1">
      <alignment horizontal="center"/>
    </xf>
    <xf numFmtId="170" fontId="47" fillId="0" borderId="2" xfId="0" applyFont="1" applyBorder="1" applyAlignment="1" applyProtection="1">
      <alignment horizontal="center"/>
    </xf>
    <xf numFmtId="170" fontId="45" fillId="10" borderId="2" xfId="0" applyFont="1" applyFill="1" applyBorder="1" applyAlignment="1" applyProtection="1">
      <alignment horizontal="center"/>
    </xf>
    <xf numFmtId="170" fontId="45" fillId="11" borderId="2" xfId="0" applyFont="1" applyFill="1" applyBorder="1" applyAlignment="1" applyProtection="1">
      <alignment horizontal="center"/>
    </xf>
    <xf numFmtId="170" fontId="0" fillId="0" borderId="44" xfId="0" applyNumberFormat="1" applyFill="1" applyBorder="1" applyProtection="1"/>
    <xf numFmtId="3" fontId="0" fillId="0" borderId="44" xfId="0" applyNumberFormat="1" applyFill="1" applyBorder="1" applyProtection="1"/>
    <xf numFmtId="168" fontId="0" fillId="0" borderId="44" xfId="0" applyNumberFormat="1" applyFill="1" applyBorder="1" applyAlignment="1" applyProtection="1">
      <alignment horizontal="center"/>
    </xf>
    <xf numFmtId="170" fontId="0" fillId="0" borderId="81" xfId="0" applyBorder="1" applyAlignment="1" applyProtection="1">
      <alignment horizontal="center" wrapText="1"/>
    </xf>
    <xf numFmtId="168" fontId="0" fillId="0" borderId="82" xfId="0" applyNumberFormat="1" applyFill="1" applyBorder="1" applyProtection="1"/>
    <xf numFmtId="168" fontId="0" fillId="0" borderId="83" xfId="0" applyNumberFormat="1" applyFill="1" applyBorder="1" applyProtection="1"/>
    <xf numFmtId="170" fontId="100" fillId="0" borderId="2" xfId="0" applyFont="1" applyFill="1" applyBorder="1" applyAlignment="1" applyProtection="1">
      <alignment horizontal="center"/>
    </xf>
    <xf numFmtId="170" fontId="100" fillId="10" borderId="2" xfId="0" applyFont="1" applyFill="1" applyBorder="1" applyAlignment="1" applyProtection="1">
      <alignment horizontal="center"/>
    </xf>
    <xf numFmtId="164" fontId="101" fillId="0" borderId="12" xfId="23" applyFont="1" applyFill="1" applyBorder="1" applyAlignment="1" applyProtection="1">
      <alignment vertical="center"/>
    </xf>
    <xf numFmtId="164" fontId="26" fillId="0" borderId="0" xfId="0" applyNumberFormat="1" applyFont="1" applyAlignment="1" applyProtection="1">
      <alignment horizontal="center"/>
    </xf>
    <xf numFmtId="170" fontId="51" fillId="0" borderId="84" xfId="0" applyFont="1" applyFill="1" applyBorder="1" applyAlignment="1" applyProtection="1">
      <alignment horizontal="center" vertical="center" wrapText="1"/>
    </xf>
    <xf numFmtId="170" fontId="100" fillId="0" borderId="78" xfId="0" applyFont="1" applyFill="1" applyBorder="1" applyAlignment="1" applyProtection="1">
      <alignment horizontal="center"/>
    </xf>
    <xf numFmtId="170" fontId="102" fillId="0" borderId="85" xfId="0" applyFont="1" applyFill="1" applyBorder="1" applyAlignment="1" applyProtection="1">
      <alignment wrapText="1"/>
    </xf>
    <xf numFmtId="170" fontId="27" fillId="0" borderId="24" xfId="0" applyFont="1" applyFill="1" applyBorder="1" applyAlignment="1" applyProtection="1">
      <alignment horizontal="center" wrapText="1"/>
    </xf>
    <xf numFmtId="170" fontId="0" fillId="0" borderId="0" xfId="0" applyFill="1" applyProtection="1"/>
    <xf numFmtId="170" fontId="85" fillId="0" borderId="0" xfId="0" applyFont="1" applyFill="1" applyAlignment="1" applyProtection="1">
      <alignment horizontal="right"/>
    </xf>
    <xf numFmtId="170" fontId="105" fillId="0" borderId="0" xfId="0" applyFont="1" applyAlignment="1" applyProtection="1">
      <alignment horizontal="left" vertical="center"/>
    </xf>
    <xf numFmtId="170" fontId="0" fillId="0" borderId="0" xfId="0" applyAlignment="1" applyProtection="1">
      <alignment horizontal="center"/>
    </xf>
    <xf numFmtId="3" fontId="30" fillId="0" borderId="37" xfId="0" applyNumberFormat="1" applyFont="1" applyFill="1" applyBorder="1" applyAlignment="1" applyProtection="1">
      <alignment horizontal="center"/>
    </xf>
    <xf numFmtId="3" fontId="30" fillId="0" borderId="81" xfId="0" applyNumberFormat="1" applyFont="1" applyFill="1" applyBorder="1" applyAlignment="1" applyProtection="1">
      <alignment horizontal="center"/>
    </xf>
    <xf numFmtId="171" fontId="17" fillId="6" borderId="25" xfId="20" applyNumberFormat="1" applyFont="1" applyFill="1" applyBorder="1" applyAlignment="1" applyProtection="1">
      <alignment horizontal="center" vertical="center"/>
    </xf>
    <xf numFmtId="170" fontId="51" fillId="0" borderId="88" xfId="0" applyFont="1" applyFill="1" applyBorder="1" applyAlignment="1" applyProtection="1">
      <alignment horizontal="center" vertical="center" wrapText="1"/>
    </xf>
    <xf numFmtId="170" fontId="38" fillId="0" borderId="89" xfId="0" applyNumberFormat="1" applyFont="1" applyFill="1" applyBorder="1" applyAlignment="1" applyProtection="1">
      <alignment horizontal="right"/>
    </xf>
    <xf numFmtId="170" fontId="51" fillId="0" borderId="90" xfId="0" applyFont="1" applyFill="1" applyBorder="1" applyAlignment="1" applyProtection="1">
      <alignment horizontal="center"/>
    </xf>
    <xf numFmtId="170" fontId="38" fillId="0" borderId="91" xfId="0" applyNumberFormat="1" applyFont="1" applyFill="1" applyBorder="1" applyAlignment="1" applyProtection="1">
      <alignment horizontal="right"/>
    </xf>
    <xf numFmtId="170" fontId="51" fillId="0" borderId="92" xfId="0" applyFont="1" applyFill="1" applyBorder="1" applyAlignment="1" applyProtection="1">
      <alignment horizontal="center"/>
    </xf>
    <xf numFmtId="170" fontId="38" fillId="0" borderId="93" xfId="0" applyNumberFormat="1" applyFont="1" applyFill="1" applyBorder="1" applyAlignment="1" applyProtection="1">
      <alignment horizontal="right"/>
    </xf>
    <xf numFmtId="170" fontId="51" fillId="0" borderId="94" xfId="0" applyNumberFormat="1" applyFont="1" applyFill="1" applyBorder="1" applyAlignment="1" applyProtection="1">
      <alignment horizontal="center"/>
    </xf>
    <xf numFmtId="170" fontId="38" fillId="0" borderId="95" xfId="0" applyNumberFormat="1" applyFont="1" applyFill="1" applyBorder="1" applyAlignment="1" applyProtection="1">
      <alignment horizontal="right"/>
    </xf>
    <xf numFmtId="170" fontId="51" fillId="0" borderId="96" xfId="0" applyNumberFormat="1" applyFont="1" applyFill="1" applyBorder="1" applyAlignment="1" applyProtection="1">
      <alignment horizontal="center" vertical="center"/>
    </xf>
    <xf numFmtId="170" fontId="38" fillId="0" borderId="97" xfId="0" applyNumberFormat="1" applyFont="1" applyFill="1" applyBorder="1" applyAlignment="1" applyProtection="1">
      <alignment horizontal="right"/>
    </xf>
    <xf numFmtId="170" fontId="51" fillId="0" borderId="98" xfId="0" applyNumberFormat="1" applyFont="1" applyFill="1" applyBorder="1" applyAlignment="1" applyProtection="1">
      <alignment horizontal="center"/>
    </xf>
    <xf numFmtId="170" fontId="38" fillId="0" borderId="99" xfId="0" applyNumberFormat="1" applyFont="1" applyFill="1" applyBorder="1" applyAlignment="1" applyProtection="1">
      <alignment horizontal="right"/>
    </xf>
    <xf numFmtId="170" fontId="51" fillId="0" borderId="98" xfId="0" applyNumberFormat="1" applyFont="1" applyFill="1" applyBorder="1" applyAlignment="1" applyProtection="1">
      <alignment horizontal="center" vertical="center"/>
    </xf>
    <xf numFmtId="3" fontId="80" fillId="9" borderId="45" xfId="0" applyNumberFormat="1" applyFont="1" applyFill="1" applyBorder="1" applyAlignment="1" applyProtection="1">
      <protection locked="0"/>
    </xf>
    <xf numFmtId="3" fontId="80" fillId="9" borderId="51" xfId="0" applyNumberFormat="1" applyFont="1" applyFill="1" applyBorder="1" applyAlignment="1" applyProtection="1">
      <protection locked="0"/>
    </xf>
    <xf numFmtId="3" fontId="80" fillId="0" borderId="2" xfId="0" applyNumberFormat="1" applyFont="1" applyFill="1" applyBorder="1" applyAlignment="1" applyProtection="1"/>
    <xf numFmtId="3" fontId="80" fillId="0" borderId="52" xfId="0" applyNumberFormat="1" applyFont="1" applyFill="1" applyBorder="1" applyAlignment="1" applyProtection="1"/>
    <xf numFmtId="3" fontId="107" fillId="9" borderId="82" xfId="0" applyNumberFormat="1" applyFont="1" applyFill="1" applyBorder="1" applyAlignment="1" applyProtection="1">
      <alignment horizontal="centerContinuous"/>
    </xf>
    <xf numFmtId="171" fontId="21" fillId="0" borderId="0" xfId="0" applyNumberFormat="1" applyFont="1" applyAlignment="1" applyProtection="1">
      <alignment horizontal="center"/>
    </xf>
    <xf numFmtId="170" fontId="100" fillId="19" borderId="2" xfId="0" applyFont="1" applyFill="1" applyBorder="1" applyAlignment="1" applyProtection="1">
      <alignment horizontal="center"/>
    </xf>
    <xf numFmtId="175" fontId="21" fillId="0" borderId="2" xfId="0" applyNumberFormat="1" applyFont="1" applyBorder="1" applyAlignment="1" applyProtection="1">
      <alignment horizontal="center" vertical="center" wrapText="1"/>
    </xf>
    <xf numFmtId="165" fontId="8" fillId="0" borderId="0" xfId="0" applyNumberFormat="1" applyFont="1" applyFill="1" applyProtection="1"/>
    <xf numFmtId="170" fontId="77" fillId="0" borderId="0" xfId="0" applyFont="1" applyFill="1" applyBorder="1" applyAlignment="1" applyProtection="1">
      <alignment horizontal="center" vertical="center"/>
    </xf>
    <xf numFmtId="170" fontId="4" fillId="0" borderId="0" xfId="0" applyFont="1" applyFill="1" applyBorder="1" applyAlignment="1" applyProtection="1">
      <alignment horizontal="centerContinuous"/>
    </xf>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170" fontId="34" fillId="0" borderId="0" xfId="0" applyFont="1" applyAlignment="1">
      <alignment horizontal="center"/>
    </xf>
    <xf numFmtId="170" fontId="34" fillId="0" borderId="0" xfId="0" applyFont="1" applyBorder="1" applyAlignment="1">
      <alignment horizontal="center"/>
    </xf>
    <xf numFmtId="170" fontId="112" fillId="0" borderId="0" xfId="0" applyFont="1" applyFill="1" applyBorder="1" applyAlignment="1" applyProtection="1">
      <alignment horizontal="right"/>
    </xf>
    <xf numFmtId="170" fontId="112" fillId="0" borderId="86" xfId="0" applyFont="1" applyFill="1" applyBorder="1" applyAlignment="1" applyProtection="1">
      <alignment horizontal="right"/>
    </xf>
    <xf numFmtId="3" fontId="14" fillId="9" borderId="45" xfId="0" applyNumberFormat="1" applyFont="1" applyFill="1" applyBorder="1" applyAlignment="1" applyProtection="1">
      <protection locked="0"/>
    </xf>
    <xf numFmtId="3" fontId="14" fillId="0" borderId="215" xfId="0" applyNumberFormat="1" applyFont="1" applyFill="1" applyBorder="1" applyAlignment="1" applyProtection="1"/>
    <xf numFmtId="1" fontId="14" fillId="3" borderId="106" xfId="0" applyNumberFormat="1" applyFont="1" applyFill="1" applyBorder="1" applyAlignment="1" applyProtection="1">
      <alignment horizontal="center"/>
    </xf>
    <xf numFmtId="3" fontId="106" fillId="0" borderId="17" xfId="0" applyNumberFormat="1" applyFont="1" applyFill="1" applyBorder="1" applyAlignment="1" applyProtection="1">
      <alignment horizontal="center"/>
    </xf>
    <xf numFmtId="170" fontId="106" fillId="0" borderId="0" xfId="0" applyFont="1" applyBorder="1" applyProtection="1"/>
    <xf numFmtId="1" fontId="106" fillId="0" borderId="106" xfId="0" applyNumberFormat="1" applyFont="1" applyFill="1" applyBorder="1" applyAlignment="1" applyProtection="1">
      <alignment horizontal="center"/>
    </xf>
    <xf numFmtId="9" fontId="113" fillId="0" borderId="0" xfId="0" applyNumberFormat="1" applyFont="1" applyFill="1" applyBorder="1" applyAlignment="1" applyProtection="1"/>
    <xf numFmtId="170" fontId="91" fillId="0" borderId="0" xfId="0" applyFont="1" applyFill="1" applyBorder="1" applyAlignment="1" applyProtection="1">
      <alignment horizontal="center" vertical="center"/>
    </xf>
    <xf numFmtId="9" fontId="113" fillId="0" borderId="0" xfId="0" applyNumberFormat="1" applyFont="1" applyFill="1" applyBorder="1" applyAlignment="1" applyProtection="1">
      <alignment horizontal="center"/>
    </xf>
    <xf numFmtId="169" fontId="40" fillId="3" borderId="0" xfId="0" applyNumberFormat="1" applyFont="1" applyFill="1" applyBorder="1" applyAlignment="1" applyProtection="1">
      <alignment vertical="center"/>
    </xf>
    <xf numFmtId="170" fontId="91" fillId="3" borderId="0" xfId="0" applyFont="1" applyFill="1" applyBorder="1" applyAlignment="1" applyProtection="1">
      <alignment horizontal="center" vertical="center"/>
    </xf>
    <xf numFmtId="170" fontId="114" fillId="3" borderId="0" xfId="0" applyFont="1" applyFill="1" applyBorder="1" applyAlignment="1" applyProtection="1">
      <alignment horizontal="center" vertical="center"/>
    </xf>
    <xf numFmtId="168" fontId="40" fillId="3" borderId="0" xfId="19" applyNumberFormat="1" applyFont="1" applyFill="1" applyBorder="1" applyAlignment="1" applyProtection="1">
      <alignment horizontal="right"/>
    </xf>
    <xf numFmtId="9" fontId="113" fillId="3" borderId="0" xfId="0" applyNumberFormat="1" applyFont="1" applyFill="1" applyBorder="1" applyProtection="1"/>
    <xf numFmtId="9" fontId="113" fillId="3" borderId="0" xfId="0" applyNumberFormat="1" applyFont="1" applyFill="1" applyBorder="1" applyAlignment="1" applyProtection="1">
      <alignment horizontal="left"/>
    </xf>
    <xf numFmtId="170" fontId="23" fillId="0" borderId="0" xfId="0" applyFont="1" applyBorder="1" applyAlignment="1" applyProtection="1">
      <alignment horizontal="center" vertical="center"/>
    </xf>
    <xf numFmtId="170" fontId="40" fillId="3" borderId="0" xfId="0" applyFont="1" applyFill="1" applyBorder="1" applyAlignment="1" applyProtection="1">
      <alignment horizontal="left" vertical="center"/>
    </xf>
    <xf numFmtId="170" fontId="115" fillId="3" borderId="0" xfId="0" applyFont="1" applyFill="1" applyBorder="1" applyAlignment="1" applyProtection="1">
      <alignment horizontal="left" vertical="center"/>
    </xf>
    <xf numFmtId="170" fontId="41" fillId="0" borderId="0" xfId="0" applyFont="1" applyFill="1" applyBorder="1" applyAlignment="1" applyProtection="1">
      <alignment horizontal="right"/>
    </xf>
    <xf numFmtId="9" fontId="113" fillId="0" borderId="0" xfId="0" applyNumberFormat="1" applyFont="1" applyFill="1" applyBorder="1" applyProtection="1"/>
    <xf numFmtId="170" fontId="41" fillId="0" borderId="0" xfId="0" applyFont="1" applyFill="1" applyBorder="1" applyProtection="1"/>
    <xf numFmtId="170" fontId="117" fillId="0" borderId="0" xfId="0" applyFont="1" applyFill="1" applyBorder="1" applyProtection="1"/>
    <xf numFmtId="170" fontId="118" fillId="0" borderId="0" xfId="0" applyFont="1" applyFill="1" applyBorder="1" applyAlignment="1" applyProtection="1">
      <alignment horizontal="center" vertical="center"/>
    </xf>
    <xf numFmtId="170" fontId="119" fillId="0" borderId="0" xfId="0" applyFont="1" applyFill="1" applyBorder="1" applyAlignment="1" applyProtection="1">
      <alignment horizontal="center" vertical="center"/>
    </xf>
    <xf numFmtId="170" fontId="119" fillId="0" borderId="0" xfId="0" applyFont="1" applyFill="1" applyBorder="1" applyAlignment="1" applyProtection="1">
      <alignment horizontal="right" vertical="center" indent="1"/>
    </xf>
    <xf numFmtId="170" fontId="120" fillId="0" borderId="0" xfId="0" applyFont="1" applyFill="1" applyBorder="1" applyAlignment="1" applyProtection="1">
      <alignment horizontal="center"/>
    </xf>
    <xf numFmtId="170" fontId="51" fillId="0" borderId="69" xfId="0" applyNumberFormat="1" applyFont="1" applyFill="1" applyBorder="1" applyAlignment="1" applyProtection="1">
      <alignment horizontal="center" vertical="center"/>
    </xf>
    <xf numFmtId="170" fontId="23" fillId="0" borderId="21" xfId="0" applyNumberFormat="1" applyFont="1" applyFill="1" applyBorder="1" applyAlignment="1" applyProtection="1">
      <alignment vertical="center"/>
    </xf>
    <xf numFmtId="170" fontId="51" fillId="0" borderId="70" xfId="0" applyNumberFormat="1" applyFont="1" applyFill="1" applyBorder="1" applyAlignment="1" applyProtection="1">
      <alignment horizontal="center" vertical="center"/>
    </xf>
    <xf numFmtId="170" fontId="23" fillId="0" borderId="22" xfId="0" applyNumberFormat="1" applyFont="1" applyFill="1" applyBorder="1" applyAlignment="1" applyProtection="1">
      <alignment vertical="center"/>
    </xf>
    <xf numFmtId="170" fontId="51" fillId="0" borderId="71" xfId="0" applyNumberFormat="1" applyFont="1" applyFill="1" applyBorder="1" applyAlignment="1" applyProtection="1">
      <alignment horizontal="center" vertical="center"/>
    </xf>
    <xf numFmtId="170" fontId="23" fillId="0" borderId="26" xfId="0" applyNumberFormat="1" applyFont="1" applyFill="1" applyBorder="1" applyAlignment="1" applyProtection="1">
      <alignment vertical="center"/>
    </xf>
    <xf numFmtId="3" fontId="8" fillId="0" borderId="0" xfId="0" applyNumberFormat="1" applyFont="1" applyFill="1" applyProtection="1"/>
    <xf numFmtId="0" fontId="108" fillId="0" borderId="0" xfId="0" applyNumberFormat="1" applyFont="1" applyAlignment="1" applyProtection="1">
      <alignment horizontal="left" vertical="center"/>
    </xf>
    <xf numFmtId="3" fontId="107" fillId="22" borderId="83" xfId="0" applyNumberFormat="1" applyFont="1" applyFill="1" applyBorder="1" applyAlignment="1" applyProtection="1">
      <alignment horizontal="centerContinuous"/>
    </xf>
    <xf numFmtId="4" fontId="106" fillId="0" borderId="102" xfId="0" applyNumberFormat="1" applyFont="1" applyBorder="1" applyProtection="1"/>
    <xf numFmtId="4" fontId="14" fillId="0" borderId="53" xfId="1" applyNumberFormat="1" applyFont="1" applyFill="1" applyBorder="1" applyAlignment="1" applyProtection="1"/>
    <xf numFmtId="4" fontId="14" fillId="0" borderId="54" xfId="1" applyNumberFormat="1" applyFont="1" applyFill="1" applyBorder="1" applyAlignment="1" applyProtection="1"/>
    <xf numFmtId="3" fontId="0" fillId="0" borderId="0" xfId="0" applyNumberFormat="1" applyFill="1" applyProtection="1"/>
    <xf numFmtId="170" fontId="74" fillId="0" borderId="0" xfId="0" applyFont="1" applyFill="1" applyBorder="1" applyAlignment="1" applyProtection="1">
      <alignment horizontal="center"/>
    </xf>
    <xf numFmtId="3" fontId="21" fillId="9" borderId="221" xfId="0" applyNumberFormat="1" applyFont="1" applyFill="1" applyBorder="1" applyAlignment="1" applyProtection="1">
      <protection locked="0"/>
    </xf>
    <xf numFmtId="3" fontId="80" fillId="9" borderId="221" xfId="0" applyNumberFormat="1" applyFont="1" applyFill="1" applyBorder="1" applyAlignment="1" applyProtection="1">
      <protection locked="0"/>
    </xf>
    <xf numFmtId="4" fontId="106" fillId="0" borderId="103" xfId="0" applyNumberFormat="1" applyFont="1" applyBorder="1" applyProtection="1"/>
    <xf numFmtId="4" fontId="14" fillId="0" borderId="128" xfId="1" applyNumberFormat="1" applyFont="1" applyFill="1" applyBorder="1" applyAlignment="1" applyProtection="1"/>
    <xf numFmtId="176" fontId="79" fillId="0" borderId="0" xfId="19" applyNumberFormat="1" applyFont="1" applyFill="1" applyBorder="1" applyAlignment="1" applyProtection="1">
      <alignment horizontal="center"/>
    </xf>
    <xf numFmtId="175" fontId="45" fillId="0" borderId="2" xfId="0" applyNumberFormat="1" applyFont="1" applyFill="1" applyBorder="1" applyAlignment="1" applyProtection="1">
      <alignment horizontal="center" vertical="center"/>
    </xf>
    <xf numFmtId="3" fontId="45" fillId="0" borderId="20" xfId="0" applyNumberFormat="1" applyFont="1" applyFill="1" applyBorder="1" applyAlignment="1" applyProtection="1">
      <alignment horizontal="center" vertical="center"/>
    </xf>
    <xf numFmtId="4" fontId="45" fillId="0" borderId="2" xfId="0" applyNumberFormat="1" applyFont="1" applyFill="1" applyBorder="1" applyAlignment="1" applyProtection="1">
      <alignment horizontal="center" vertical="center"/>
    </xf>
    <xf numFmtId="175" fontId="45" fillId="10" borderId="2" xfId="0" applyNumberFormat="1" applyFont="1" applyFill="1" applyBorder="1" applyAlignment="1" applyProtection="1">
      <alignment horizontal="center" vertical="center"/>
    </xf>
    <xf numFmtId="3" fontId="45" fillId="10" borderId="20" xfId="0" applyNumberFormat="1" applyFont="1" applyFill="1" applyBorder="1" applyAlignment="1" applyProtection="1">
      <alignment horizontal="center" vertical="center"/>
    </xf>
    <xf numFmtId="175" fontId="45" fillId="0" borderId="78" xfId="0" applyNumberFormat="1" applyFont="1" applyFill="1" applyBorder="1" applyAlignment="1" applyProtection="1">
      <alignment horizontal="center" vertical="center"/>
    </xf>
    <xf numFmtId="3" fontId="45" fillId="0" borderId="79" xfId="0" applyNumberFormat="1" applyFont="1" applyFill="1" applyBorder="1" applyAlignment="1" applyProtection="1">
      <alignment horizontal="center" vertical="center"/>
    </xf>
    <xf numFmtId="2" fontId="0" fillId="0" borderId="0" xfId="0" applyNumberFormat="1"/>
    <xf numFmtId="14" fontId="47" fillId="0" borderId="2" xfId="0" applyNumberFormat="1" applyFont="1" applyFill="1" applyBorder="1" applyAlignment="1" applyProtection="1">
      <alignment horizontal="center"/>
    </xf>
    <xf numFmtId="171" fontId="14" fillId="24" borderId="2" xfId="20" applyNumberFormat="1" applyFont="1" applyFill="1" applyBorder="1" applyAlignment="1" applyProtection="1">
      <alignment horizontal="center"/>
      <protection locked="0"/>
    </xf>
    <xf numFmtId="170" fontId="44" fillId="0" borderId="27" xfId="0" applyFont="1" applyBorder="1" applyAlignment="1">
      <alignment horizontal="justify" vertical="center" wrapText="1"/>
    </xf>
    <xf numFmtId="170" fontId="44" fillId="0" borderId="28" xfId="0" applyFont="1" applyBorder="1" applyAlignment="1">
      <alignment horizontal="justify" vertical="center" wrapText="1"/>
    </xf>
    <xf numFmtId="170" fontId="44" fillId="0" borderId="29" xfId="0" applyFont="1" applyBorder="1" applyAlignment="1">
      <alignment horizontal="justify" vertical="center" wrapText="1"/>
    </xf>
    <xf numFmtId="171" fontId="130" fillId="0" borderId="2" xfId="20" applyNumberFormat="1" applyFont="1" applyFill="1" applyBorder="1" applyAlignment="1" applyProtection="1">
      <alignment horizontal="center"/>
    </xf>
    <xf numFmtId="170" fontId="0" fillId="0" borderId="76" xfId="0" applyBorder="1"/>
    <xf numFmtId="170" fontId="103" fillId="0" borderId="27" xfId="0" applyFont="1" applyBorder="1" applyAlignment="1" applyProtection="1">
      <alignment vertical="center" wrapText="1"/>
      <protection locked="0"/>
    </xf>
    <xf numFmtId="170" fontId="91" fillId="18" borderId="27" xfId="0" applyFont="1" applyFill="1" applyBorder="1" applyAlignment="1" applyProtection="1">
      <alignment vertical="center" wrapText="1"/>
      <protection locked="0"/>
    </xf>
    <xf numFmtId="170" fontId="91" fillId="18" borderId="28" xfId="0" applyFont="1" applyFill="1" applyBorder="1" applyAlignment="1" applyProtection="1">
      <alignment vertical="center" wrapText="1"/>
      <protection locked="0"/>
    </xf>
    <xf numFmtId="170" fontId="91" fillId="18" borderId="29" xfId="0" applyFont="1" applyFill="1" applyBorder="1" applyAlignment="1" applyProtection="1">
      <alignment vertical="center" wrapText="1"/>
      <protection locked="0"/>
    </xf>
    <xf numFmtId="170" fontId="132" fillId="18" borderId="28" xfId="0" applyFont="1" applyFill="1" applyBorder="1" applyAlignment="1" applyProtection="1">
      <alignment vertical="center" wrapText="1"/>
      <protection locked="0"/>
    </xf>
    <xf numFmtId="170" fontId="132" fillId="18" borderId="29" xfId="0" applyFont="1" applyFill="1" applyBorder="1" applyAlignment="1" applyProtection="1">
      <alignment vertical="center" wrapText="1"/>
      <protection locked="0"/>
    </xf>
    <xf numFmtId="170" fontId="91" fillId="0" borderId="27" xfId="0" applyFont="1" applyFill="1" applyBorder="1" applyAlignment="1" applyProtection="1">
      <alignment vertical="center" wrapText="1"/>
      <protection locked="0"/>
    </xf>
    <xf numFmtId="170" fontId="91" fillId="18" borderId="28" xfId="0" applyFont="1" applyFill="1" applyBorder="1" applyAlignment="1" applyProtection="1">
      <alignment vertical="top" wrapText="1"/>
      <protection locked="0"/>
    </xf>
    <xf numFmtId="170" fontId="91" fillId="18" borderId="29" xfId="0" applyFont="1" applyFill="1" applyBorder="1" applyAlignment="1" applyProtection="1">
      <alignment vertical="top" wrapText="1"/>
      <protection locked="0"/>
    </xf>
    <xf numFmtId="170" fontId="132" fillId="18" borderId="28" xfId="0" applyFont="1" applyFill="1" applyBorder="1" applyAlignment="1" applyProtection="1">
      <alignment vertical="top" wrapText="1"/>
      <protection locked="0"/>
    </xf>
    <xf numFmtId="170" fontId="132" fillId="18" borderId="29" xfId="0" applyFont="1" applyFill="1" applyBorder="1" applyAlignment="1" applyProtection="1">
      <alignment vertical="top" wrapText="1"/>
      <protection locked="0"/>
    </xf>
    <xf numFmtId="170" fontId="103" fillId="0" borderId="2" xfId="0" applyFont="1" applyBorder="1" applyAlignment="1" applyProtection="1">
      <alignment vertical="center" wrapText="1"/>
      <protection locked="0"/>
    </xf>
    <xf numFmtId="170" fontId="91" fillId="0" borderId="2" xfId="0" applyFont="1" applyFill="1" applyBorder="1" applyAlignment="1" applyProtection="1">
      <alignment vertical="center" wrapText="1"/>
      <protection locked="0"/>
    </xf>
    <xf numFmtId="170" fontId="91" fillId="18" borderId="2" xfId="0" applyFont="1" applyFill="1" applyBorder="1" applyAlignment="1" applyProtection="1">
      <alignment vertical="center" wrapText="1"/>
      <protection locked="0"/>
    </xf>
    <xf numFmtId="170" fontId="91" fillId="0" borderId="2" xfId="0" applyFont="1" applyFill="1" applyBorder="1" applyAlignment="1" applyProtection="1">
      <alignment horizontal="justify" vertical="center" wrapText="1"/>
      <protection locked="0"/>
    </xf>
    <xf numFmtId="170" fontId="91" fillId="18" borderId="2" xfId="0" applyFont="1" applyFill="1" applyBorder="1" applyAlignment="1" applyProtection="1">
      <alignment horizontal="justify" vertical="center" wrapText="1"/>
      <protection locked="0"/>
    </xf>
    <xf numFmtId="170" fontId="0" fillId="0" borderId="29" xfId="0" applyBorder="1"/>
    <xf numFmtId="170" fontId="0" fillId="0" borderId="75" xfId="0" applyBorder="1"/>
    <xf numFmtId="170" fontId="0" fillId="0" borderId="111" xfId="0" applyBorder="1"/>
    <xf numFmtId="170" fontId="0" fillId="0" borderId="110" xfId="0" applyBorder="1"/>
    <xf numFmtId="170" fontId="0" fillId="0" borderId="107" xfId="0" applyBorder="1"/>
    <xf numFmtId="170" fontId="103" fillId="0" borderId="107" xfId="0" applyFont="1" applyBorder="1" applyAlignment="1" applyProtection="1">
      <alignment horizontal="justify" vertical="center" wrapText="1"/>
      <protection locked="0"/>
    </xf>
    <xf numFmtId="170" fontId="91" fillId="18" borderId="107" xfId="0" applyFont="1" applyFill="1" applyBorder="1" applyAlignment="1" applyProtection="1">
      <alignment horizontal="justify" vertical="center" wrapText="1"/>
      <protection locked="0"/>
    </xf>
    <xf numFmtId="170" fontId="91" fillId="18" borderId="109" xfId="0" applyFont="1" applyFill="1" applyBorder="1" applyAlignment="1" applyProtection="1">
      <alignment horizontal="justify" vertical="center" wrapText="1"/>
      <protection locked="0"/>
    </xf>
    <xf numFmtId="1" fontId="134" fillId="0" borderId="0" xfId="0" applyNumberFormat="1" applyFont="1" applyAlignment="1">
      <alignment vertical="center"/>
    </xf>
    <xf numFmtId="1" fontId="134" fillId="0" borderId="0" xfId="0" applyNumberFormat="1" applyFont="1" applyBorder="1" applyAlignment="1">
      <alignment vertical="center"/>
    </xf>
    <xf numFmtId="170" fontId="65" fillId="5" borderId="27" xfId="0" applyFont="1" applyFill="1" applyBorder="1" applyAlignment="1">
      <alignment vertical="center"/>
    </xf>
    <xf numFmtId="170" fontId="65" fillId="5" borderId="28" xfId="0" applyFont="1" applyFill="1" applyBorder="1" applyAlignment="1">
      <alignment vertical="center"/>
    </xf>
    <xf numFmtId="170" fontId="65" fillId="5" borderId="29" xfId="0" applyFont="1" applyFill="1" applyBorder="1" applyAlignment="1">
      <alignment vertical="center"/>
    </xf>
    <xf numFmtId="170" fontId="0" fillId="0" borderId="27" xfId="0" applyBorder="1" applyAlignment="1">
      <alignment vertical="center" wrapText="1"/>
    </xf>
    <xf numFmtId="170" fontId="0" fillId="0" borderId="28" xfId="0" applyBorder="1" applyAlignment="1">
      <alignment vertical="center" wrapText="1"/>
    </xf>
    <xf numFmtId="170" fontId="0" fillId="0" borderId="29" xfId="0" applyBorder="1" applyAlignment="1">
      <alignment vertical="center" wrapText="1"/>
    </xf>
    <xf numFmtId="170" fontId="58" fillId="0" borderId="0" xfId="0" applyFont="1" applyAlignment="1"/>
    <xf numFmtId="170" fontId="66" fillId="5" borderId="27" xfId="0" applyFont="1" applyFill="1" applyBorder="1" applyAlignment="1">
      <alignment vertical="center" wrapText="1"/>
    </xf>
    <xf numFmtId="170" fontId="131" fillId="5" borderId="27" xfId="0" applyFont="1" applyFill="1" applyBorder="1" applyAlignment="1">
      <alignment vertical="center"/>
    </xf>
    <xf numFmtId="170" fontId="17" fillId="0" borderId="27" xfId="0" applyFont="1" applyBorder="1" applyAlignment="1">
      <alignment vertical="center" wrapText="1"/>
    </xf>
    <xf numFmtId="170" fontId="17" fillId="0" borderId="28" xfId="0" applyFont="1" applyBorder="1" applyAlignment="1">
      <alignment vertical="center" wrapText="1"/>
    </xf>
    <xf numFmtId="170" fontId="65" fillId="5" borderId="27" xfId="0" applyFont="1" applyFill="1" applyBorder="1" applyAlignment="1">
      <alignment wrapText="1"/>
    </xf>
    <xf numFmtId="170" fontId="65" fillId="5" borderId="27" xfId="0" applyFont="1" applyFill="1" applyBorder="1" applyAlignment="1"/>
    <xf numFmtId="170" fontId="65" fillId="5" borderId="28" xfId="0" applyFont="1" applyFill="1" applyBorder="1" applyAlignment="1"/>
    <xf numFmtId="170" fontId="65" fillId="5" borderId="29" xfId="0" applyFont="1" applyFill="1" applyBorder="1" applyAlignment="1"/>
    <xf numFmtId="170" fontId="44" fillId="0" borderId="109" xfId="0" applyFont="1" applyBorder="1" applyAlignment="1">
      <alignment wrapText="1"/>
    </xf>
    <xf numFmtId="170" fontId="44" fillId="0" borderId="27" xfId="0" applyFont="1" applyBorder="1" applyAlignment="1">
      <alignment vertical="center" wrapText="1"/>
    </xf>
    <xf numFmtId="170" fontId="44" fillId="0" borderId="28" xfId="0" applyFont="1" applyBorder="1" applyAlignment="1">
      <alignment vertical="center" wrapText="1"/>
    </xf>
    <xf numFmtId="170" fontId="44" fillId="0" borderId="29" xfId="0" applyFont="1" applyBorder="1" applyAlignment="1">
      <alignment vertical="center" wrapText="1"/>
    </xf>
    <xf numFmtId="164" fontId="60" fillId="0" borderId="27" xfId="0" applyNumberFormat="1" applyFont="1" applyBorder="1" applyAlignment="1">
      <alignment vertical="center" wrapText="1"/>
    </xf>
    <xf numFmtId="170" fontId="91" fillId="0" borderId="111" xfId="0" applyFont="1" applyBorder="1" applyAlignment="1">
      <alignment vertical="center" wrapText="1"/>
    </xf>
    <xf numFmtId="170" fontId="91" fillId="0" borderId="27" xfId="0" applyFont="1" applyBorder="1" applyAlignment="1">
      <alignment vertical="center" wrapText="1"/>
    </xf>
    <xf numFmtId="170" fontId="91" fillId="0" borderId="28" xfId="0" applyFont="1" applyBorder="1" applyAlignment="1">
      <alignment vertical="center" wrapText="1"/>
    </xf>
    <xf numFmtId="170" fontId="91" fillId="0" borderId="29" xfId="0" applyFont="1" applyBorder="1" applyAlignment="1">
      <alignment vertical="center" wrapText="1"/>
    </xf>
    <xf numFmtId="164" fontId="60" fillId="0" borderId="109" xfId="0" applyNumberFormat="1" applyFont="1" applyBorder="1" applyAlignment="1">
      <alignment vertical="center" wrapText="1"/>
    </xf>
    <xf numFmtId="170" fontId="60" fillId="0" borderId="111" xfId="0" applyFont="1" applyBorder="1" applyAlignment="1">
      <alignment vertical="center" wrapText="1"/>
    </xf>
    <xf numFmtId="170" fontId="61" fillId="0" borderId="111" xfId="0" applyFont="1" applyBorder="1" applyAlignment="1">
      <alignment vertical="center" wrapText="1"/>
    </xf>
    <xf numFmtId="170" fontId="44" fillId="0" borderId="109" xfId="0" applyFont="1" applyBorder="1" applyAlignment="1">
      <alignment vertical="center" wrapText="1"/>
    </xf>
    <xf numFmtId="170" fontId="44" fillId="0" borderId="108" xfId="0" applyFont="1" applyBorder="1" applyAlignment="1">
      <alignment vertical="center" wrapText="1"/>
    </xf>
    <xf numFmtId="170" fontId="44" fillId="0" borderId="110" xfId="0" applyFont="1" applyBorder="1" applyAlignment="1">
      <alignment vertical="center" wrapText="1"/>
    </xf>
    <xf numFmtId="170" fontId="44" fillId="0" borderId="111" xfId="0" applyFont="1" applyBorder="1" applyAlignment="1">
      <alignment vertical="center" wrapText="1"/>
    </xf>
    <xf numFmtId="170" fontId="44" fillId="0" borderId="73" xfId="0" applyFont="1" applyBorder="1" applyAlignment="1">
      <alignment vertical="center" wrapText="1"/>
    </xf>
    <xf numFmtId="170" fontId="44" fillId="0" borderId="75" xfId="0" applyFont="1" applyBorder="1" applyAlignment="1">
      <alignment vertical="center" wrapText="1"/>
    </xf>
    <xf numFmtId="170" fontId="0" fillId="0" borderId="0" xfId="0" applyBorder="1" applyAlignment="1">
      <alignment wrapText="1"/>
    </xf>
    <xf numFmtId="170" fontId="59" fillId="6" borderId="27" xfId="0" applyFont="1" applyFill="1" applyBorder="1" applyAlignment="1"/>
    <xf numFmtId="170" fontId="59" fillId="6" borderId="28" xfId="0" applyFont="1" applyFill="1" applyBorder="1" applyAlignment="1"/>
    <xf numFmtId="170" fontId="59" fillId="6" borderId="29" xfId="0" applyFont="1" applyFill="1" applyBorder="1" applyAlignment="1"/>
    <xf numFmtId="170" fontId="0" fillId="0" borderId="0" xfId="0" applyBorder="1" applyAlignment="1"/>
    <xf numFmtId="170" fontId="61" fillId="0" borderId="27" xfId="0" applyFont="1" applyBorder="1" applyAlignment="1">
      <alignment vertical="center" wrapText="1"/>
    </xf>
    <xf numFmtId="164" fontId="10" fillId="14" borderId="0" xfId="12" applyFont="1" applyFill="1" applyAlignment="1" applyProtection="1">
      <alignment vertical="center"/>
    </xf>
    <xf numFmtId="170" fontId="59" fillId="9" borderId="27" xfId="0" applyFont="1" applyFill="1" applyBorder="1" applyAlignment="1"/>
    <xf numFmtId="170" fontId="59" fillId="9" borderId="28" xfId="0" applyFont="1" applyFill="1" applyBorder="1" applyAlignment="1"/>
    <xf numFmtId="170" fontId="59" fillId="9" borderId="29" xfId="0" applyFont="1" applyFill="1" applyBorder="1" applyAlignment="1"/>
    <xf numFmtId="9" fontId="61" fillId="0" borderId="27" xfId="19" applyFont="1" applyBorder="1" applyAlignment="1">
      <alignment vertical="center" wrapText="1"/>
    </xf>
    <xf numFmtId="170" fontId="0" fillId="0" borderId="108" xfId="0" applyBorder="1" applyAlignment="1">
      <alignment wrapText="1"/>
    </xf>
    <xf numFmtId="170" fontId="0" fillId="0" borderId="108" xfId="0" applyBorder="1" applyAlignment="1"/>
    <xf numFmtId="170" fontId="137" fillId="0" borderId="0" xfId="0" applyFont="1" applyAlignment="1" applyProtection="1">
      <alignment horizontal="left" vertical="center"/>
    </xf>
    <xf numFmtId="170" fontId="141" fillId="0" borderId="2" xfId="0" applyFont="1" applyBorder="1" applyAlignment="1" applyProtection="1">
      <alignment vertical="center" wrapText="1"/>
      <protection locked="0"/>
    </xf>
    <xf numFmtId="170" fontId="140" fillId="0" borderId="2" xfId="0" applyFont="1" applyFill="1" applyBorder="1" applyAlignment="1" applyProtection="1">
      <alignment vertical="center" wrapText="1"/>
      <protection locked="0"/>
    </xf>
    <xf numFmtId="170" fontId="140" fillId="18" borderId="2" xfId="0" applyFont="1" applyFill="1" applyBorder="1" applyAlignment="1" applyProtection="1">
      <alignment vertical="center" wrapText="1"/>
      <protection locked="0"/>
    </xf>
    <xf numFmtId="170" fontId="140" fillId="18" borderId="27" xfId="0" applyFont="1" applyFill="1" applyBorder="1" applyAlignment="1" applyProtection="1">
      <alignment vertical="center" wrapText="1"/>
      <protection locked="0"/>
    </xf>
    <xf numFmtId="170" fontId="26" fillId="25" borderId="0" xfId="0" applyFont="1" applyFill="1" applyBorder="1" applyAlignment="1">
      <alignment horizontal="center" vertical="center" textRotation="90"/>
    </xf>
    <xf numFmtId="0" fontId="91" fillId="18" borderId="27" xfId="0" applyNumberFormat="1" applyFont="1" applyFill="1" applyBorder="1" applyAlignment="1" applyProtection="1">
      <alignment vertical="center" wrapText="1"/>
      <protection locked="0"/>
    </xf>
    <xf numFmtId="170" fontId="91" fillId="18" borderId="27" xfId="0" applyFont="1" applyFill="1" applyBorder="1" applyAlignment="1" applyProtection="1">
      <alignment horizontal="left" vertical="center" wrapText="1"/>
      <protection locked="0"/>
    </xf>
    <xf numFmtId="2" fontId="0" fillId="0" borderId="0" xfId="0" applyNumberFormat="1" applyProtection="1"/>
    <xf numFmtId="2" fontId="0" fillId="0" borderId="0" xfId="0" applyNumberFormat="1" applyFill="1" applyProtection="1"/>
    <xf numFmtId="176" fontId="21" fillId="0" borderId="2" xfId="19" applyNumberFormat="1" applyFont="1" applyBorder="1" applyAlignment="1" applyProtection="1">
      <alignment horizontal="center" vertical="center" wrapText="1"/>
    </xf>
    <xf numFmtId="10" fontId="21" fillId="0" borderId="2" xfId="19" applyNumberFormat="1" applyFont="1" applyBorder="1" applyAlignment="1" applyProtection="1">
      <alignment horizontal="center" vertical="center" wrapText="1"/>
    </xf>
    <xf numFmtId="170" fontId="0" fillId="0" borderId="13" xfId="0" applyBorder="1" applyAlignment="1" applyProtection="1">
      <alignment horizontal="center"/>
    </xf>
    <xf numFmtId="170" fontId="85" fillId="0" borderId="0" xfId="0" applyFont="1" applyAlignment="1" applyProtection="1">
      <alignment horizontal="right"/>
    </xf>
    <xf numFmtId="170" fontId="85" fillId="0" borderId="0" xfId="0" applyFont="1" applyBorder="1" applyAlignment="1" applyProtection="1">
      <alignment horizontal="right"/>
    </xf>
    <xf numFmtId="164" fontId="17" fillId="6" borderId="25" xfId="20" applyFont="1" applyFill="1" applyBorder="1" applyAlignment="1" applyProtection="1">
      <alignment horizontal="center"/>
    </xf>
    <xf numFmtId="164" fontId="1" fillId="0" borderId="25" xfId="20" applyFont="1" applyBorder="1" applyAlignment="1" applyProtection="1">
      <alignment horizontal="right"/>
    </xf>
    <xf numFmtId="164" fontId="13" fillId="0" borderId="0" xfId="15" applyFont="1" applyFill="1" applyAlignment="1" applyProtection="1">
      <alignment horizontal="right" vertical="center"/>
    </xf>
    <xf numFmtId="171" fontId="17" fillId="6" borderId="25" xfId="20" applyNumberFormat="1" applyFont="1" applyFill="1" applyBorder="1" applyAlignment="1" applyProtection="1">
      <alignment horizontal="center"/>
    </xf>
    <xf numFmtId="164" fontId="21" fillId="0" borderId="0" xfId="0" applyNumberFormat="1" applyFont="1" applyAlignment="1" applyProtection="1">
      <alignment horizontal="right"/>
    </xf>
    <xf numFmtId="15" fontId="21" fillId="0" borderId="0" xfId="0" applyNumberFormat="1" applyFont="1" applyAlignment="1" applyProtection="1">
      <alignment horizontal="right"/>
    </xf>
    <xf numFmtId="164" fontId="7" fillId="0" borderId="0" xfId="0" applyNumberFormat="1" applyFont="1" applyAlignment="1" applyProtection="1">
      <alignment horizontal="center"/>
    </xf>
    <xf numFmtId="170" fontId="27" fillId="0" borderId="2" xfId="0" applyFont="1" applyBorder="1" applyAlignment="1" applyProtection="1">
      <alignment horizontal="center" vertical="center" wrapText="1"/>
    </xf>
    <xf numFmtId="9" fontId="0" fillId="0" borderId="0" xfId="19" applyFont="1" applyProtection="1"/>
    <xf numFmtId="170" fontId="23" fillId="3" borderId="27" xfId="0" applyFont="1" applyFill="1" applyBorder="1" applyAlignment="1" applyProtection="1"/>
    <xf numFmtId="168" fontId="147" fillId="3" borderId="2" xfId="0" applyNumberFormat="1" applyFont="1" applyFill="1" applyBorder="1" applyAlignment="1" applyProtection="1">
      <alignment horizontal="center"/>
    </xf>
    <xf numFmtId="168" fontId="147" fillId="0" borderId="2" xfId="0" applyNumberFormat="1" applyFont="1" applyBorder="1" applyAlignment="1" applyProtection="1">
      <alignment horizontal="center"/>
    </xf>
    <xf numFmtId="168" fontId="148" fillId="23" borderId="68" xfId="0" applyNumberFormat="1" applyFont="1" applyFill="1" applyBorder="1" applyAlignment="1" applyProtection="1">
      <alignment horizontal="center"/>
    </xf>
    <xf numFmtId="168" fontId="23" fillId="23" borderId="68" xfId="0" applyNumberFormat="1" applyFont="1" applyFill="1" applyBorder="1" applyAlignment="1" applyProtection="1">
      <alignment horizontal="center"/>
    </xf>
    <xf numFmtId="170" fontId="23" fillId="3" borderId="43" xfId="0" applyFont="1" applyFill="1" applyBorder="1" applyAlignment="1" applyProtection="1"/>
    <xf numFmtId="168" fontId="147" fillId="3" borderId="44" xfId="0" applyNumberFormat="1" applyFont="1" applyFill="1" applyBorder="1" applyAlignment="1" applyProtection="1">
      <alignment horizontal="center"/>
    </xf>
    <xf numFmtId="168" fontId="147" fillId="0" borderId="44" xfId="0" applyNumberFormat="1" applyFont="1" applyBorder="1" applyAlignment="1" applyProtection="1">
      <alignment horizontal="center"/>
    </xf>
    <xf numFmtId="14" fontId="0" fillId="0" borderId="2" xfId="0" applyNumberFormat="1" applyBorder="1" applyAlignment="1" applyProtection="1">
      <alignment horizontal="center"/>
    </xf>
    <xf numFmtId="49" fontId="0" fillId="0" borderId="2" xfId="0" applyNumberFormat="1" applyBorder="1" applyAlignment="1" applyProtection="1">
      <alignment horizontal="center"/>
    </xf>
    <xf numFmtId="49" fontId="56" fillId="0" borderId="2" xfId="0" applyNumberFormat="1" applyFont="1" applyBorder="1" applyAlignment="1" applyProtection="1">
      <alignment horizontal="center" wrapText="1"/>
    </xf>
    <xf numFmtId="170" fontId="8" fillId="0" borderId="0" xfId="0" applyFont="1" applyFill="1" applyProtection="1"/>
    <xf numFmtId="166" fontId="8" fillId="3" borderId="0" xfId="0" applyNumberFormat="1" applyFont="1" applyFill="1" applyProtection="1"/>
    <xf numFmtId="170" fontId="8" fillId="3" borderId="0" xfId="0" applyFont="1" applyFill="1" applyProtection="1"/>
    <xf numFmtId="165" fontId="25" fillId="2" borderId="45" xfId="0" applyNumberFormat="1" applyFont="1" applyFill="1" applyBorder="1" applyAlignment="1" applyProtection="1">
      <alignment horizontal="center"/>
    </xf>
    <xf numFmtId="165" fontId="25" fillId="2" borderId="46" xfId="0" applyNumberFormat="1" applyFont="1" applyFill="1" applyBorder="1" applyAlignment="1" applyProtection="1">
      <alignment horizontal="center"/>
    </xf>
    <xf numFmtId="165" fontId="25" fillId="0" borderId="47" xfId="0" applyNumberFormat="1" applyFont="1" applyFill="1" applyBorder="1" applyAlignment="1" applyProtection="1">
      <alignment horizontal="center"/>
    </xf>
    <xf numFmtId="170" fontId="14" fillId="0" borderId="0" xfId="0" applyFont="1" applyFill="1" applyProtection="1"/>
    <xf numFmtId="3" fontId="14" fillId="18" borderId="45" xfId="0" applyNumberFormat="1" applyFont="1" applyFill="1" applyBorder="1" applyAlignment="1" applyProtection="1"/>
    <xf numFmtId="170" fontId="14" fillId="0" borderId="0" xfId="0" applyNumberFormat="1" applyFont="1" applyFill="1" applyProtection="1"/>
    <xf numFmtId="165" fontId="25" fillId="0" borderId="0" xfId="0" applyNumberFormat="1" applyFont="1" applyFill="1" applyBorder="1" applyAlignment="1" applyProtection="1">
      <alignment horizontal="center"/>
    </xf>
    <xf numFmtId="164" fontId="21" fillId="0" borderId="0" xfId="0" applyNumberFormat="1" applyFont="1" applyFill="1" applyBorder="1" applyAlignment="1" applyProtection="1"/>
    <xf numFmtId="49" fontId="19" fillId="0" borderId="60" xfId="0" applyNumberFormat="1" applyFont="1" applyFill="1" applyBorder="1" applyAlignment="1" applyProtection="1">
      <alignment horizontal="justify" wrapText="1"/>
    </xf>
    <xf numFmtId="49" fontId="19" fillId="0" borderId="60" xfId="0" applyNumberFormat="1" applyFont="1" applyFill="1" applyBorder="1" applyAlignment="1" applyProtection="1">
      <alignment horizontal="justify"/>
    </xf>
    <xf numFmtId="170" fontId="19" fillId="0" borderId="60" xfId="0" applyFont="1" applyFill="1" applyBorder="1" applyAlignment="1" applyProtection="1">
      <alignment wrapText="1"/>
    </xf>
    <xf numFmtId="166" fontId="4" fillId="0" borderId="0" xfId="1" applyNumberFormat="1" applyFont="1" applyFill="1" applyBorder="1" applyAlignment="1" applyProtection="1"/>
    <xf numFmtId="166" fontId="4" fillId="0" borderId="0" xfId="1" applyNumberFormat="1" applyFont="1" applyFill="1" applyBorder="1" applyProtection="1"/>
    <xf numFmtId="170" fontId="80" fillId="0" borderId="0" xfId="0" applyFont="1" applyFill="1" applyBorder="1" applyAlignment="1" applyProtection="1">
      <alignment horizontal="left"/>
    </xf>
    <xf numFmtId="164" fontId="32" fillId="0" borderId="0" xfId="23" applyFont="1" applyFill="1" applyBorder="1" applyAlignment="1" applyProtection="1">
      <alignment horizontal="center" vertical="center"/>
    </xf>
    <xf numFmtId="170" fontId="0" fillId="0" borderId="0" xfId="0" applyFill="1" applyBorder="1" applyAlignment="1" applyProtection="1">
      <alignment horizontal="left" vertical="top"/>
    </xf>
    <xf numFmtId="15" fontId="0" fillId="0" borderId="0" xfId="0" applyNumberFormat="1" applyFill="1" applyBorder="1" applyAlignment="1" applyProtection="1">
      <alignment horizontal="center"/>
    </xf>
    <xf numFmtId="3" fontId="106" fillId="3" borderId="17" xfId="0" applyNumberFormat="1" applyFont="1" applyFill="1" applyBorder="1" applyAlignment="1" applyProtection="1">
      <alignment horizontal="center"/>
    </xf>
    <xf numFmtId="165" fontId="25" fillId="2" borderId="48" xfId="0" applyNumberFormat="1" applyFont="1" applyFill="1" applyBorder="1" applyAlignment="1" applyProtection="1">
      <alignment horizontal="center"/>
    </xf>
    <xf numFmtId="165" fontId="25" fillId="2" borderId="49" xfId="0" applyNumberFormat="1" applyFont="1" applyFill="1" applyBorder="1" applyAlignment="1" applyProtection="1">
      <alignment horizontal="center"/>
    </xf>
    <xf numFmtId="3" fontId="0" fillId="0" borderId="0" xfId="0" applyNumberFormat="1" applyFill="1" applyBorder="1" applyProtection="1"/>
    <xf numFmtId="170" fontId="21" fillId="0" borderId="23" xfId="0" applyFont="1" applyBorder="1" applyAlignment="1" applyProtection="1">
      <alignment horizontal="center" wrapText="1"/>
    </xf>
    <xf numFmtId="170" fontId="0" fillId="0" borderId="23" xfId="0" applyBorder="1" applyAlignment="1" applyProtection="1">
      <alignment horizontal="center" wrapText="1"/>
    </xf>
    <xf numFmtId="49" fontId="0" fillId="6" borderId="2" xfId="0" applyNumberFormat="1" applyFill="1" applyBorder="1" applyProtection="1"/>
    <xf numFmtId="170" fontId="0" fillId="6" borderId="2" xfId="0" applyNumberFormat="1" applyFill="1" applyBorder="1" applyProtection="1"/>
    <xf numFmtId="3" fontId="0" fillId="6" borderId="2" xfId="0" applyNumberFormat="1" applyFill="1" applyBorder="1" applyProtection="1"/>
    <xf numFmtId="170" fontId="0" fillId="6" borderId="2" xfId="0" applyNumberFormat="1" applyFill="1" applyBorder="1" applyAlignment="1" applyProtection="1">
      <alignment horizontal="center"/>
    </xf>
    <xf numFmtId="49" fontId="0" fillId="6" borderId="44" xfId="0" applyNumberFormat="1" applyFill="1" applyBorder="1" applyAlignment="1" applyProtection="1">
      <alignment horizontal="left"/>
    </xf>
    <xf numFmtId="170" fontId="0" fillId="6" borderId="44" xfId="0" applyNumberFormat="1" applyFill="1" applyBorder="1" applyProtection="1"/>
    <xf numFmtId="3" fontId="0" fillId="6" borderId="44" xfId="0" applyNumberFormat="1" applyFill="1" applyBorder="1" applyProtection="1"/>
    <xf numFmtId="170" fontId="0" fillId="6" borderId="44" xfId="0" applyNumberFormat="1" applyFill="1" applyBorder="1" applyAlignment="1" applyProtection="1">
      <alignment horizontal="center"/>
    </xf>
    <xf numFmtId="170" fontId="0" fillId="5" borderId="63" xfId="0" applyFill="1" applyBorder="1" applyProtection="1"/>
    <xf numFmtId="165" fontId="7" fillId="2" borderId="55" xfId="0" applyNumberFormat="1" applyFont="1" applyFill="1" applyBorder="1" applyAlignment="1" applyProtection="1">
      <alignment horizontal="center"/>
    </xf>
    <xf numFmtId="165" fontId="7" fillId="2" borderId="56" xfId="0" applyNumberFormat="1" applyFont="1" applyFill="1" applyBorder="1" applyAlignment="1" applyProtection="1">
      <alignment horizontal="center"/>
    </xf>
    <xf numFmtId="2" fontId="133" fillId="0" borderId="222" xfId="0" applyNumberFormat="1" applyFont="1" applyBorder="1" applyAlignment="1" applyProtection="1"/>
    <xf numFmtId="170" fontId="0" fillId="0" borderId="80" xfId="0" applyBorder="1" applyProtection="1"/>
    <xf numFmtId="4" fontId="14" fillId="9" borderId="100" xfId="1" applyNumberFormat="1" applyFont="1" applyFill="1" applyBorder="1" applyAlignment="1" applyProtection="1">
      <protection locked="0"/>
    </xf>
    <xf numFmtId="4" fontId="14" fillId="9" borderId="101" xfId="1" applyNumberFormat="1" applyFont="1" applyFill="1" applyBorder="1" applyProtection="1">
      <protection locked="0"/>
    </xf>
    <xf numFmtId="4" fontId="14" fillId="9" borderId="100" xfId="1" applyNumberFormat="1" applyFont="1" applyFill="1" applyBorder="1" applyProtection="1">
      <protection locked="0"/>
    </xf>
    <xf numFmtId="3" fontId="14" fillId="9" borderId="100" xfId="1" applyNumberFormat="1" applyFont="1" applyFill="1" applyBorder="1" applyAlignment="1" applyProtection="1">
      <protection locked="0"/>
    </xf>
    <xf numFmtId="3" fontId="14" fillId="9" borderId="101" xfId="1" applyNumberFormat="1" applyFont="1" applyFill="1" applyBorder="1" applyProtection="1">
      <protection locked="0"/>
    </xf>
    <xf numFmtId="3" fontId="14" fillId="9" borderId="2" xfId="1" quotePrefix="1" applyNumberFormat="1" applyFont="1" applyFill="1" applyBorder="1" applyProtection="1">
      <protection locked="0"/>
    </xf>
    <xf numFmtId="3" fontId="14" fillId="9" borderId="2" xfId="1" applyNumberFormat="1" applyFont="1" applyFill="1" applyBorder="1" applyAlignment="1" applyProtection="1">
      <protection locked="0"/>
    </xf>
    <xf numFmtId="4" fontId="14" fillId="9" borderId="2" xfId="1" applyNumberFormat="1" applyFont="1" applyFill="1" applyBorder="1" applyAlignment="1" applyProtection="1">
      <protection locked="0"/>
    </xf>
    <xf numFmtId="3" fontId="14" fillId="9" borderId="104" xfId="1" applyNumberFormat="1" applyFont="1" applyFill="1" applyBorder="1" applyAlignment="1" applyProtection="1">
      <protection locked="0"/>
    </xf>
    <xf numFmtId="1" fontId="106" fillId="9" borderId="2" xfId="0" applyNumberFormat="1" applyFont="1" applyFill="1" applyBorder="1" applyAlignment="1" applyProtection="1">
      <alignment horizontal="center"/>
      <protection locked="0"/>
    </xf>
    <xf numFmtId="1" fontId="106" fillId="9" borderId="38" xfId="0" applyNumberFormat="1" applyFont="1" applyFill="1" applyBorder="1" applyAlignment="1" applyProtection="1">
      <alignment horizontal="center"/>
      <protection locked="0"/>
    </xf>
    <xf numFmtId="1" fontId="106" fillId="9" borderId="52" xfId="0" applyNumberFormat="1" applyFont="1" applyFill="1" applyBorder="1" applyAlignment="1" applyProtection="1">
      <alignment horizontal="center"/>
      <protection locked="0"/>
    </xf>
    <xf numFmtId="1" fontId="106" fillId="9" borderId="105" xfId="0" applyNumberFormat="1" applyFont="1" applyFill="1" applyBorder="1" applyAlignment="1" applyProtection="1">
      <alignment horizontal="center"/>
      <protection locked="0"/>
    </xf>
    <xf numFmtId="1" fontId="14" fillId="6" borderId="2" xfId="0" applyNumberFormat="1" applyFont="1" applyFill="1" applyBorder="1" applyAlignment="1" applyProtection="1">
      <alignment horizontal="center"/>
      <protection locked="0"/>
    </xf>
    <xf numFmtId="1" fontId="14" fillId="6" borderId="31" xfId="0" applyNumberFormat="1" applyFont="1" applyFill="1" applyBorder="1" applyAlignment="1" applyProtection="1">
      <alignment horizontal="center"/>
      <protection locked="0"/>
    </xf>
    <xf numFmtId="3" fontId="106" fillId="6" borderId="31" xfId="0" applyNumberFormat="1" applyFont="1" applyFill="1" applyBorder="1" applyAlignment="1" applyProtection="1">
      <alignment horizontal="center"/>
      <protection locked="0"/>
    </xf>
    <xf numFmtId="3" fontId="106" fillId="6" borderId="17" xfId="0" applyNumberFormat="1" applyFont="1" applyFill="1" applyBorder="1" applyAlignment="1" applyProtection="1">
      <alignment horizontal="center"/>
      <protection locked="0"/>
    </xf>
    <xf numFmtId="1" fontId="106" fillId="6" borderId="2" xfId="0" applyNumberFormat="1" applyFont="1" applyFill="1" applyBorder="1" applyAlignment="1" applyProtection="1">
      <alignment horizontal="center"/>
      <protection locked="0"/>
    </xf>
    <xf numFmtId="1" fontId="106" fillId="6" borderId="31" xfId="0" applyNumberFormat="1" applyFont="1" applyFill="1" applyBorder="1" applyAlignment="1" applyProtection="1">
      <alignment horizontal="center"/>
      <protection locked="0"/>
    </xf>
    <xf numFmtId="3" fontId="106" fillId="6" borderId="2" xfId="0" applyNumberFormat="1" applyFont="1" applyFill="1" applyBorder="1" applyAlignment="1" applyProtection="1">
      <alignment horizontal="right" wrapText="1"/>
      <protection locked="0"/>
    </xf>
    <xf numFmtId="3" fontId="0" fillId="6" borderId="2" xfId="0" applyNumberFormat="1" applyFill="1" applyBorder="1" applyAlignment="1" applyProtection="1">
      <alignment horizontal="right" wrapText="1"/>
      <protection locked="0"/>
    </xf>
    <xf numFmtId="3" fontId="0" fillId="6" borderId="82" xfId="0" applyNumberFormat="1" applyFill="1" applyBorder="1" applyAlignment="1" applyProtection="1">
      <alignment horizontal="right" wrapText="1"/>
      <protection locked="0"/>
    </xf>
    <xf numFmtId="3" fontId="106" fillId="0" borderId="2" xfId="0" applyNumberFormat="1" applyFont="1" applyFill="1" applyBorder="1" applyProtection="1">
      <protection locked="0"/>
    </xf>
    <xf numFmtId="3" fontId="106" fillId="0" borderId="2" xfId="0" applyNumberFormat="1" applyFont="1" applyBorder="1" applyAlignment="1" applyProtection="1">
      <alignment horizontal="right" wrapText="1"/>
      <protection locked="0"/>
    </xf>
    <xf numFmtId="3" fontId="0" fillId="0" borderId="2" xfId="0" applyNumberFormat="1" applyBorder="1" applyAlignment="1" applyProtection="1">
      <alignment horizontal="right" wrapText="1"/>
      <protection locked="0"/>
    </xf>
    <xf numFmtId="3" fontId="106" fillId="0" borderId="82" xfId="0" applyNumberFormat="1" applyFont="1" applyBorder="1" applyAlignment="1" applyProtection="1">
      <alignment horizontal="right" wrapText="1"/>
      <protection locked="0"/>
    </xf>
    <xf numFmtId="3" fontId="106" fillId="0" borderId="44" xfId="0" applyNumberFormat="1" applyFont="1" applyFill="1" applyBorder="1" applyProtection="1">
      <protection locked="0"/>
    </xf>
    <xf numFmtId="3" fontId="106" fillId="0" borderId="44" xfId="0" applyNumberFormat="1" applyFont="1" applyBorder="1" applyAlignment="1" applyProtection="1">
      <alignment horizontal="right" wrapText="1"/>
      <protection locked="0"/>
    </xf>
    <xf numFmtId="3" fontId="0" fillId="0" borderId="44" xfId="0" applyNumberFormat="1" applyBorder="1" applyAlignment="1" applyProtection="1">
      <alignment horizontal="right" wrapText="1"/>
      <protection locked="0"/>
    </xf>
    <xf numFmtId="3" fontId="106" fillId="0" borderId="83" xfId="0" applyNumberFormat="1" applyFont="1" applyBorder="1" applyAlignment="1" applyProtection="1">
      <alignment horizontal="right" wrapText="1"/>
      <protection locked="0"/>
    </xf>
    <xf numFmtId="168" fontId="45" fillId="5" borderId="2" xfId="0" applyNumberFormat="1" applyFont="1" applyFill="1" applyBorder="1" applyAlignment="1" applyProtection="1">
      <alignment horizontal="center" vertical="center"/>
      <protection locked="0"/>
    </xf>
    <xf numFmtId="168" fontId="100" fillId="5" borderId="2" xfId="0" applyNumberFormat="1" applyFont="1" applyFill="1" applyBorder="1" applyAlignment="1" applyProtection="1">
      <alignment horizontal="center" vertical="center"/>
      <protection locked="0"/>
    </xf>
    <xf numFmtId="168" fontId="2" fillId="5" borderId="2" xfId="0" applyNumberFormat="1" applyFont="1" applyFill="1" applyBorder="1" applyAlignment="1" applyProtection="1">
      <alignment horizontal="center" vertical="center"/>
      <protection locked="0"/>
    </xf>
    <xf numFmtId="3" fontId="45" fillId="5" borderId="20" xfId="0" applyNumberFormat="1" applyFont="1" applyFill="1" applyBorder="1" applyAlignment="1" applyProtection="1">
      <alignment horizontal="center" vertical="center"/>
      <protection locked="0"/>
    </xf>
    <xf numFmtId="2" fontId="51" fillId="5" borderId="2" xfId="0" applyNumberFormat="1" applyFont="1" applyFill="1" applyBorder="1" applyAlignment="1" applyProtection="1">
      <alignment horizontal="center" vertical="center"/>
      <protection locked="0"/>
    </xf>
    <xf numFmtId="168" fontId="51" fillId="5" borderId="2" xfId="0" applyNumberFormat="1" applyFont="1" applyFill="1" applyBorder="1" applyAlignment="1" applyProtection="1">
      <alignment horizontal="center" vertical="center"/>
      <protection locked="0"/>
    </xf>
    <xf numFmtId="3" fontId="51" fillId="5" borderId="20" xfId="0" applyNumberFormat="1" applyFont="1" applyFill="1" applyBorder="1" applyAlignment="1" applyProtection="1">
      <alignment horizontal="center" vertical="center"/>
      <protection locked="0"/>
    </xf>
    <xf numFmtId="176" fontId="45" fillId="20" borderId="2" xfId="0" applyNumberFormat="1" applyFont="1" applyFill="1" applyBorder="1" applyAlignment="1" applyProtection="1">
      <alignment horizontal="center" vertical="center"/>
      <protection locked="0"/>
    </xf>
    <xf numFmtId="168" fontId="45" fillId="20" borderId="2" xfId="0" applyNumberFormat="1" applyFont="1" applyFill="1" applyBorder="1" applyAlignment="1" applyProtection="1">
      <alignment horizontal="center" vertical="center"/>
      <protection locked="0"/>
    </xf>
    <xf numFmtId="3" fontId="45" fillId="7" borderId="20" xfId="0" applyNumberFormat="1" applyFont="1" applyFill="1" applyBorder="1" applyAlignment="1" applyProtection="1">
      <alignment horizontal="center" vertical="center"/>
      <protection locked="0"/>
    </xf>
    <xf numFmtId="176" fontId="51" fillId="20" borderId="2" xfId="0" applyNumberFormat="1" applyFont="1" applyFill="1" applyBorder="1" applyAlignment="1" applyProtection="1">
      <alignment horizontal="center" vertical="center"/>
      <protection locked="0"/>
    </xf>
    <xf numFmtId="168" fontId="51" fillId="20" borderId="2" xfId="0" applyNumberFormat="1" applyFont="1" applyFill="1" applyBorder="1" applyAlignment="1" applyProtection="1">
      <alignment horizontal="center" vertical="center"/>
      <protection locked="0"/>
    </xf>
    <xf numFmtId="3" fontId="51" fillId="7" borderId="20" xfId="0" applyNumberFormat="1" applyFont="1" applyFill="1" applyBorder="1" applyAlignment="1" applyProtection="1">
      <alignment horizontal="center" vertical="center"/>
      <protection locked="0"/>
    </xf>
    <xf numFmtId="10" fontId="45" fillId="5" borderId="2" xfId="19" applyNumberFormat="1" applyFont="1" applyFill="1" applyBorder="1" applyAlignment="1" applyProtection="1">
      <alignment horizontal="center" vertical="center"/>
      <protection locked="0"/>
    </xf>
    <xf numFmtId="10" fontId="100" fillId="5" borderId="2" xfId="19" applyNumberFormat="1" applyFont="1" applyFill="1" applyBorder="1" applyAlignment="1" applyProtection="1">
      <alignment horizontal="center" vertical="center"/>
      <protection locked="0"/>
    </xf>
    <xf numFmtId="10" fontId="2" fillId="21" borderId="2" xfId="19" applyNumberFormat="1" applyFont="1" applyFill="1" applyBorder="1" applyAlignment="1" applyProtection="1">
      <alignment horizontal="center" vertical="center"/>
      <protection locked="0"/>
    </xf>
    <xf numFmtId="10" fontId="45" fillId="21" borderId="2" xfId="19" applyNumberFormat="1" applyFont="1" applyFill="1" applyBorder="1" applyAlignment="1" applyProtection="1">
      <alignment horizontal="center" vertical="center"/>
      <protection locked="0"/>
    </xf>
    <xf numFmtId="10" fontId="45" fillId="5" borderId="20" xfId="19" applyNumberFormat="1" applyFont="1" applyFill="1" applyBorder="1" applyAlignment="1" applyProtection="1">
      <alignment horizontal="center" vertical="center"/>
      <protection locked="0"/>
    </xf>
    <xf numFmtId="10" fontId="51" fillId="5" borderId="2" xfId="19" applyNumberFormat="1" applyFont="1" applyFill="1" applyBorder="1" applyAlignment="1" applyProtection="1">
      <alignment horizontal="center" vertical="center"/>
      <protection locked="0"/>
    </xf>
    <xf numFmtId="10" fontId="51" fillId="21" borderId="2" xfId="19" applyNumberFormat="1" applyFont="1" applyFill="1" applyBorder="1" applyAlignment="1" applyProtection="1">
      <alignment horizontal="center" vertical="center"/>
      <protection locked="0"/>
    </xf>
    <xf numFmtId="10" fontId="51" fillId="5" borderId="20" xfId="19" applyNumberFormat="1" applyFont="1" applyFill="1" applyBorder="1" applyAlignment="1" applyProtection="1">
      <alignment horizontal="center" vertical="center"/>
      <protection locked="0"/>
    </xf>
    <xf numFmtId="168" fontId="2" fillId="7" borderId="2" xfId="0" applyNumberFormat="1" applyFont="1" applyFill="1" applyBorder="1" applyAlignment="1" applyProtection="1">
      <alignment horizontal="center" vertical="center"/>
      <protection locked="0"/>
    </xf>
    <xf numFmtId="168" fontId="45" fillId="7" borderId="2" xfId="0" applyNumberFormat="1" applyFont="1" applyFill="1" applyBorder="1" applyAlignment="1" applyProtection="1">
      <alignment horizontal="center" vertical="center"/>
      <protection locked="0"/>
    </xf>
    <xf numFmtId="3" fontId="45" fillId="12" borderId="2" xfId="0" applyNumberFormat="1" applyFont="1" applyFill="1" applyBorder="1" applyAlignment="1" applyProtection="1">
      <alignment horizontal="center" vertical="center"/>
      <protection locked="0"/>
    </xf>
    <xf numFmtId="1" fontId="45" fillId="12" borderId="2" xfId="0" applyNumberFormat="1" applyFont="1" applyFill="1" applyBorder="1" applyAlignment="1" applyProtection="1">
      <alignment horizontal="center" vertical="center"/>
      <protection locked="0"/>
    </xf>
    <xf numFmtId="3" fontId="45" fillId="12" borderId="20" xfId="0" applyNumberFormat="1" applyFont="1" applyFill="1" applyBorder="1" applyAlignment="1" applyProtection="1">
      <alignment horizontal="center" vertical="center"/>
      <protection locked="0"/>
    </xf>
    <xf numFmtId="3" fontId="45" fillId="7" borderId="2" xfId="0" applyNumberFormat="1" applyFont="1" applyFill="1" applyBorder="1" applyAlignment="1" applyProtection="1">
      <alignment horizontal="center" vertical="center"/>
      <protection locked="0"/>
    </xf>
    <xf numFmtId="1" fontId="2" fillId="7" borderId="2" xfId="0" applyNumberFormat="1" applyFont="1" applyFill="1" applyBorder="1" applyAlignment="1" applyProtection="1">
      <alignment horizontal="center" vertical="center"/>
      <protection locked="0"/>
    </xf>
    <xf numFmtId="10" fontId="45" fillId="12" borderId="2" xfId="0" applyNumberFormat="1" applyFont="1" applyFill="1" applyBorder="1" applyAlignment="1" applyProtection="1">
      <alignment horizontal="center" vertical="center"/>
      <protection locked="0"/>
    </xf>
    <xf numFmtId="168" fontId="45" fillId="12" borderId="2" xfId="0" applyNumberFormat="1" applyFont="1" applyFill="1" applyBorder="1" applyAlignment="1" applyProtection="1">
      <alignment horizontal="center" vertical="center"/>
      <protection locked="0"/>
    </xf>
    <xf numFmtId="10" fontId="51" fillId="12" borderId="2" xfId="0" applyNumberFormat="1" applyFont="1" applyFill="1" applyBorder="1" applyAlignment="1" applyProtection="1">
      <alignment horizontal="center" vertical="center"/>
      <protection locked="0"/>
    </xf>
    <xf numFmtId="168" fontId="51" fillId="12" borderId="2" xfId="0" applyNumberFormat="1" applyFont="1" applyFill="1" applyBorder="1" applyAlignment="1" applyProtection="1">
      <alignment horizontal="center" vertical="center"/>
      <protection locked="0"/>
    </xf>
    <xf numFmtId="3" fontId="51" fillId="12" borderId="20" xfId="0" applyNumberFormat="1" applyFont="1" applyFill="1" applyBorder="1" applyAlignment="1" applyProtection="1">
      <alignment horizontal="center" vertical="center"/>
      <protection locked="0"/>
    </xf>
    <xf numFmtId="168" fontId="45" fillId="7" borderId="2" xfId="0" applyNumberFormat="1" applyFont="1" applyFill="1" applyBorder="1" applyAlignment="1" applyProtection="1">
      <alignment horizontal="right" vertical="center"/>
      <protection locked="0"/>
    </xf>
    <xf numFmtId="3" fontId="45" fillId="7" borderId="20" xfId="0" applyNumberFormat="1" applyFont="1" applyFill="1" applyBorder="1" applyAlignment="1" applyProtection="1">
      <alignment horizontal="right" vertical="center"/>
      <protection locked="0"/>
    </xf>
    <xf numFmtId="2" fontId="51" fillId="7" borderId="2" xfId="0" applyNumberFormat="1" applyFont="1" applyFill="1" applyBorder="1" applyAlignment="1" applyProtection="1">
      <alignment horizontal="center" vertical="center"/>
      <protection locked="0"/>
    </xf>
    <xf numFmtId="168" fontId="51" fillId="7" borderId="2" xfId="0" applyNumberFormat="1" applyFont="1" applyFill="1" applyBorder="1" applyAlignment="1" applyProtection="1">
      <alignment horizontal="right" vertical="center"/>
      <protection locked="0"/>
    </xf>
    <xf numFmtId="3" fontId="51" fillId="7" borderId="20" xfId="0" applyNumberFormat="1" applyFont="1" applyFill="1" applyBorder="1" applyAlignment="1" applyProtection="1">
      <alignment horizontal="right" vertical="center"/>
      <protection locked="0"/>
    </xf>
    <xf numFmtId="3" fontId="45" fillId="12" borderId="2" xfId="0" applyNumberFormat="1" applyFont="1" applyFill="1" applyBorder="1" applyAlignment="1" applyProtection="1">
      <alignment vertical="center"/>
      <protection locked="0"/>
    </xf>
    <xf numFmtId="3" fontId="45" fillId="12" borderId="20" xfId="0" applyNumberFormat="1" applyFont="1" applyFill="1" applyBorder="1" applyAlignment="1" applyProtection="1">
      <alignment vertical="center"/>
      <protection locked="0"/>
    </xf>
    <xf numFmtId="176" fontId="45" fillId="7" borderId="2" xfId="0" applyNumberFormat="1" applyFont="1" applyFill="1" applyBorder="1" applyAlignment="1" applyProtection="1">
      <alignment horizontal="center" vertical="center"/>
      <protection locked="0"/>
    </xf>
    <xf numFmtId="176" fontId="51" fillId="7" borderId="2" xfId="0" applyNumberFormat="1" applyFont="1" applyFill="1" applyBorder="1" applyAlignment="1" applyProtection="1">
      <alignment horizontal="center" vertical="center"/>
      <protection locked="0"/>
    </xf>
    <xf numFmtId="1" fontId="45" fillId="7" borderId="2" xfId="0" applyNumberFormat="1" applyFont="1" applyFill="1" applyBorder="1" applyAlignment="1" applyProtection="1">
      <alignment horizontal="center" vertical="center"/>
      <protection locked="0"/>
    </xf>
    <xf numFmtId="1" fontId="51" fillId="7" borderId="2" xfId="0" applyNumberFormat="1" applyFont="1" applyFill="1" applyBorder="1" applyAlignment="1" applyProtection="1">
      <alignment horizontal="center" vertical="center"/>
      <protection locked="0"/>
    </xf>
    <xf numFmtId="1" fontId="51" fillId="12" borderId="2" xfId="0" applyNumberFormat="1" applyFont="1" applyFill="1" applyBorder="1" applyAlignment="1" applyProtection="1">
      <alignment horizontal="center" vertical="center"/>
      <protection locked="0"/>
    </xf>
    <xf numFmtId="3" fontId="51" fillId="12" borderId="2" xfId="0" applyNumberFormat="1" applyFont="1" applyFill="1" applyBorder="1" applyAlignment="1" applyProtection="1">
      <alignment vertical="center"/>
      <protection locked="0"/>
    </xf>
    <xf numFmtId="3" fontId="51" fillId="12" borderId="20" xfId="0" applyNumberFormat="1" applyFont="1" applyFill="1" applyBorder="1" applyAlignment="1" applyProtection="1">
      <alignment vertical="center"/>
      <protection locked="0"/>
    </xf>
    <xf numFmtId="10" fontId="51" fillId="7" borderId="2" xfId="0" applyNumberFormat="1" applyFont="1" applyFill="1" applyBorder="1" applyAlignment="1" applyProtection="1">
      <alignment horizontal="center" vertical="center"/>
      <protection locked="0"/>
    </xf>
    <xf numFmtId="168" fontId="51" fillId="7" borderId="2" xfId="0" applyNumberFormat="1" applyFont="1" applyFill="1" applyBorder="1" applyAlignment="1" applyProtection="1">
      <alignment horizontal="center" vertical="center"/>
      <protection locked="0"/>
    </xf>
    <xf numFmtId="3" fontId="51" fillId="12" borderId="2" xfId="0" applyNumberFormat="1" applyFont="1" applyFill="1" applyBorder="1" applyAlignment="1" applyProtection="1">
      <alignment horizontal="center" vertical="center"/>
      <protection locked="0"/>
    </xf>
    <xf numFmtId="164" fontId="0" fillId="0" borderId="0" xfId="0" quotePrefix="1" applyNumberFormat="1" applyProtection="1"/>
    <xf numFmtId="164" fontId="0" fillId="0" borderId="0" xfId="0" applyNumberFormat="1" applyProtection="1"/>
    <xf numFmtId="164" fontId="9" fillId="0" borderId="0" xfId="13" applyFont="1" applyFill="1" applyAlignment="1" applyProtection="1">
      <alignment vertical="center"/>
    </xf>
    <xf numFmtId="170" fontId="23" fillId="5" borderId="0" xfId="0" applyFont="1" applyFill="1" applyBorder="1" applyAlignment="1" applyProtection="1">
      <alignment horizontal="left"/>
    </xf>
    <xf numFmtId="170" fontId="106" fillId="0" borderId="0" xfId="0" applyFont="1" applyBorder="1" applyAlignment="1" applyProtection="1">
      <alignment horizontal="left"/>
    </xf>
    <xf numFmtId="22" fontId="0" fillId="0" borderId="0" xfId="0" applyNumberFormat="1" applyProtection="1"/>
    <xf numFmtId="170" fontId="0" fillId="0" borderId="0" xfId="0" applyBorder="1" applyAlignment="1" applyProtection="1">
      <alignment horizontal="center"/>
    </xf>
    <xf numFmtId="2" fontId="104" fillId="0" borderId="0" xfId="20" applyNumberFormat="1" applyFill="1" applyBorder="1" applyAlignment="1" applyProtection="1">
      <alignment horizontal="center"/>
    </xf>
    <xf numFmtId="15" fontId="0"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54" fillId="3" borderId="0" xfId="0" applyNumberFormat="1" applyFont="1" applyFill="1" applyBorder="1" applyAlignment="1" applyProtection="1">
      <alignment horizontal="center"/>
    </xf>
    <xf numFmtId="170" fontId="122" fillId="0" borderId="0" xfId="0" applyFont="1" applyProtection="1"/>
    <xf numFmtId="170" fontId="1" fillId="0" borderId="0" xfId="0" applyFont="1" applyBorder="1" applyAlignment="1" applyProtection="1"/>
    <xf numFmtId="170" fontId="1" fillId="0" borderId="0" xfId="0" applyFont="1" applyFill="1" applyBorder="1" applyAlignment="1" applyProtection="1"/>
    <xf numFmtId="170" fontId="55" fillId="0" borderId="0" xfId="0" applyFont="1" applyProtection="1"/>
    <xf numFmtId="170" fontId="21" fillId="0" borderId="0" xfId="0" applyFont="1" applyFill="1" applyBorder="1" applyAlignment="1" applyProtection="1">
      <alignment vertical="center" wrapText="1"/>
    </xf>
    <xf numFmtId="170" fontId="21" fillId="0" borderId="0" xfId="0" applyFont="1" applyFill="1" applyBorder="1" applyAlignment="1" applyProtection="1">
      <alignment horizontal="center"/>
    </xf>
    <xf numFmtId="170" fontId="0" fillId="3" borderId="0" xfId="0" applyFill="1" applyBorder="1" applyAlignment="1" applyProtection="1">
      <alignment horizontal="center"/>
    </xf>
    <xf numFmtId="164" fontId="9" fillId="0" borderId="0" xfId="4" applyFont="1" applyFill="1" applyAlignment="1" applyProtection="1">
      <alignment vertical="center"/>
    </xf>
    <xf numFmtId="170" fontId="123" fillId="0" borderId="0" xfId="0" applyFont="1" applyProtection="1"/>
    <xf numFmtId="170" fontId="125" fillId="5" borderId="0" xfId="0" applyFont="1" applyFill="1" applyBorder="1" applyAlignment="1" applyProtection="1">
      <alignment horizontal="left"/>
    </xf>
    <xf numFmtId="170" fontId="121" fillId="0" borderId="0" xfId="0" applyFont="1" applyProtection="1"/>
    <xf numFmtId="170" fontId="123" fillId="0" borderId="0" xfId="0" applyFont="1" applyBorder="1" applyAlignment="1" applyProtection="1">
      <alignment horizontal="left" wrapText="1"/>
    </xf>
    <xf numFmtId="170" fontId="27" fillId="0" borderId="0" xfId="0" applyFont="1" applyFill="1" applyAlignment="1" applyProtection="1">
      <alignment horizontal="left"/>
    </xf>
    <xf numFmtId="170" fontId="27" fillId="0" borderId="0" xfId="0" applyFont="1" applyFill="1" applyBorder="1" applyAlignment="1" applyProtection="1">
      <alignment horizontal="left"/>
    </xf>
    <xf numFmtId="170" fontId="135" fillId="0" borderId="0" xfId="0" applyFont="1" applyAlignment="1" applyProtection="1">
      <alignment horizontal="center" vertical="center"/>
    </xf>
    <xf numFmtId="170" fontId="106" fillId="0" borderId="0" xfId="0" applyFont="1" applyProtection="1"/>
    <xf numFmtId="171" fontId="21" fillId="0" borderId="0" xfId="0" applyNumberFormat="1" applyFont="1" applyProtection="1"/>
    <xf numFmtId="170" fontId="6" fillId="0" borderId="0" xfId="0" applyFont="1" applyProtection="1"/>
    <xf numFmtId="170" fontId="136" fillId="0" borderId="0" xfId="0" applyFont="1" applyAlignment="1" applyProtection="1">
      <alignment horizontal="center" vertical="center"/>
    </xf>
    <xf numFmtId="170" fontId="138" fillId="0" borderId="0" xfId="0" applyFont="1" applyProtection="1"/>
    <xf numFmtId="170" fontId="139" fillId="0" borderId="0" xfId="0" applyFont="1" applyAlignment="1" applyProtection="1">
      <alignment horizontal="center"/>
    </xf>
    <xf numFmtId="170" fontId="139" fillId="0" borderId="0" xfId="0" applyFont="1" applyProtection="1"/>
    <xf numFmtId="170" fontId="143" fillId="0" borderId="0" xfId="0" applyFont="1" applyProtection="1"/>
    <xf numFmtId="170" fontId="27" fillId="5" borderId="0" xfId="0" applyFont="1" applyFill="1" applyBorder="1" applyAlignment="1" applyProtection="1">
      <alignment horizontal="right" vertical="top" wrapText="1"/>
    </xf>
    <xf numFmtId="170" fontId="23" fillId="5" borderId="0" xfId="0" applyFont="1" applyFill="1" applyBorder="1" applyAlignment="1" applyProtection="1">
      <alignment horizontal="right" vertical="top" wrapText="1"/>
    </xf>
    <xf numFmtId="3" fontId="144" fillId="3" borderId="3" xfId="0" applyNumberFormat="1" applyFont="1" applyFill="1" applyBorder="1" applyAlignment="1" applyProtection="1">
      <alignment horizontal="right"/>
    </xf>
    <xf numFmtId="3" fontId="144" fillId="3" borderId="3" xfId="1" applyNumberFormat="1" applyFont="1" applyFill="1" applyBorder="1" applyProtection="1"/>
    <xf numFmtId="9" fontId="144" fillId="3" borderId="3" xfId="19" applyFont="1" applyFill="1" applyBorder="1" applyProtection="1"/>
    <xf numFmtId="170" fontId="144" fillId="0" borderId="0" xfId="0" applyFont="1" applyProtection="1"/>
    <xf numFmtId="170" fontId="145" fillId="0" borderId="0" xfId="0" applyFont="1" applyProtection="1"/>
    <xf numFmtId="2" fontId="135" fillId="0" borderId="0" xfId="0" applyNumberFormat="1" applyFont="1" applyAlignment="1" applyProtection="1">
      <alignment horizontal="center" vertical="center"/>
    </xf>
    <xf numFmtId="9" fontId="144" fillId="3" borderId="3" xfId="19" applyNumberFormat="1" applyFont="1" applyFill="1" applyBorder="1" applyProtection="1"/>
    <xf numFmtId="170" fontId="144" fillId="3" borderId="3" xfId="0" applyFont="1" applyFill="1" applyBorder="1" applyProtection="1"/>
    <xf numFmtId="9" fontId="144" fillId="3" borderId="3" xfId="19" applyFont="1" applyFill="1" applyBorder="1" applyAlignment="1" applyProtection="1">
      <alignment horizontal="center"/>
    </xf>
    <xf numFmtId="164" fontId="144" fillId="0" borderId="0" xfId="0" applyNumberFormat="1" applyFont="1" applyProtection="1"/>
    <xf numFmtId="170" fontId="14" fillId="3" borderId="3" xfId="0" applyFont="1" applyFill="1" applyBorder="1" applyProtection="1"/>
    <xf numFmtId="9" fontId="14" fillId="3" borderId="3" xfId="19" applyFont="1" applyFill="1" applyBorder="1" applyProtection="1"/>
    <xf numFmtId="170" fontId="142" fillId="0" borderId="0" xfId="0" applyFont="1" applyProtection="1"/>
    <xf numFmtId="49" fontId="106" fillId="24" borderId="2" xfId="0" applyNumberFormat="1" applyFont="1" applyFill="1" applyBorder="1" applyAlignment="1" applyProtection="1">
      <alignment horizontal="center"/>
      <protection locked="0"/>
    </xf>
    <xf numFmtId="164" fontId="10" fillId="13" borderId="0" xfId="4" applyFont="1" applyFill="1" applyBorder="1" applyAlignment="1">
      <alignment horizontal="center" vertical="center"/>
    </xf>
    <xf numFmtId="164" fontId="26" fillId="0" borderId="0" xfId="0" applyNumberFormat="1" applyFont="1" applyAlignment="1">
      <alignment horizontal="center"/>
    </xf>
    <xf numFmtId="170" fontId="0" fillId="0" borderId="0" xfId="0" applyAlignment="1"/>
    <xf numFmtId="170" fontId="98" fillId="0" borderId="0" xfId="0" applyFont="1" applyAlignment="1">
      <alignment horizontal="center"/>
    </xf>
    <xf numFmtId="170" fontId="99" fillId="0" borderId="0" xfId="0" applyFont="1" applyAlignment="1">
      <alignment horizontal="center"/>
    </xf>
    <xf numFmtId="170" fontId="26" fillId="25" borderId="126" xfId="0" applyFont="1" applyFill="1" applyBorder="1" applyAlignment="1">
      <alignment horizontal="center" vertical="center" textRotation="90"/>
    </xf>
    <xf numFmtId="0" fontId="45" fillId="28" borderId="225" xfId="0" applyNumberFormat="1" applyFont="1" applyFill="1" applyBorder="1" applyAlignment="1" applyProtection="1">
      <alignment horizontal="center" vertical="center" wrapText="1"/>
    </xf>
    <xf numFmtId="0" fontId="45" fillId="28" borderId="224" xfId="0" applyNumberFormat="1" applyFont="1" applyFill="1" applyBorder="1" applyAlignment="1" applyProtection="1">
      <alignment horizontal="center" vertical="center" wrapText="1"/>
    </xf>
    <xf numFmtId="0" fontId="45" fillId="28" borderId="87" xfId="0" applyNumberFormat="1" applyFont="1" applyFill="1" applyBorder="1" applyAlignment="1" applyProtection="1">
      <alignment horizontal="center" vertical="center" wrapText="1"/>
    </xf>
    <xf numFmtId="0" fontId="45" fillId="28" borderId="74" xfId="0" applyNumberFormat="1" applyFont="1" applyFill="1" applyBorder="1" applyAlignment="1" applyProtection="1">
      <alignment horizontal="center" vertical="center" wrapText="1"/>
    </xf>
    <xf numFmtId="170" fontId="45" fillId="26" borderId="2" xfId="0" applyNumberFormat="1" applyFont="1" applyFill="1" applyBorder="1" applyAlignment="1" applyProtection="1">
      <alignment horizontal="left" vertical="center" wrapText="1"/>
    </xf>
    <xf numFmtId="170" fontId="45" fillId="26" borderId="225" xfId="0" applyNumberFormat="1" applyFont="1" applyFill="1" applyBorder="1" applyAlignment="1" applyProtection="1">
      <alignment horizontal="center" vertical="center" wrapText="1"/>
    </xf>
    <xf numFmtId="170" fontId="45" fillId="26" borderId="224" xfId="0" applyNumberFormat="1" applyFont="1" applyFill="1" applyBorder="1" applyAlignment="1" applyProtection="1">
      <alignment horizontal="center" vertical="center" wrapText="1"/>
    </xf>
    <xf numFmtId="170" fontId="45" fillId="26" borderId="87" xfId="0" applyNumberFormat="1" applyFont="1" applyFill="1" applyBorder="1" applyAlignment="1" applyProtection="1">
      <alignment horizontal="center" vertical="center" wrapText="1"/>
    </xf>
    <xf numFmtId="170" fontId="45" fillId="26" borderId="74" xfId="0" applyNumberFormat="1" applyFont="1" applyFill="1" applyBorder="1" applyAlignment="1" applyProtection="1">
      <alignment horizontal="center" vertical="center" wrapText="1"/>
    </xf>
    <xf numFmtId="0" fontId="45" fillId="27" borderId="2" xfId="0" applyNumberFormat="1" applyFont="1" applyFill="1" applyBorder="1" applyAlignment="1" applyProtection="1">
      <alignment vertical="center" wrapText="1"/>
    </xf>
    <xf numFmtId="10" fontId="26" fillId="0" borderId="112" xfId="19" applyNumberFormat="1" applyFont="1" applyFill="1" applyBorder="1" applyAlignment="1" applyProtection="1">
      <alignment horizontal="center" vertical="center"/>
    </xf>
    <xf numFmtId="10" fontId="26" fillId="0" borderId="113" xfId="19" applyNumberFormat="1" applyFont="1" applyFill="1" applyBorder="1" applyAlignment="1" applyProtection="1">
      <alignment horizontal="center" vertical="center"/>
    </xf>
    <xf numFmtId="10" fontId="26" fillId="0" borderId="114" xfId="19" applyNumberFormat="1" applyFont="1" applyFill="1" applyBorder="1" applyAlignment="1" applyProtection="1">
      <alignment horizontal="center" vertical="center"/>
    </xf>
    <xf numFmtId="0" fontId="45" fillId="26" borderId="133" xfId="0" applyNumberFormat="1" applyFont="1" applyFill="1" applyBorder="1" applyAlignment="1" applyProtection="1">
      <alignment horizontal="center" vertical="center" wrapText="1"/>
    </xf>
    <xf numFmtId="0" fontId="45" fillId="26" borderId="77" xfId="0" applyNumberFormat="1" applyFont="1" applyFill="1" applyBorder="1" applyAlignment="1" applyProtection="1">
      <alignment horizontal="center" vertical="center" wrapText="1"/>
    </xf>
    <xf numFmtId="0" fontId="45" fillId="26" borderId="87" xfId="0" applyNumberFormat="1" applyFont="1" applyFill="1" applyBorder="1" applyAlignment="1" applyProtection="1">
      <alignment horizontal="center" vertical="center" wrapText="1"/>
    </xf>
    <xf numFmtId="0" fontId="45" fillId="26" borderId="74" xfId="0" applyNumberFormat="1" applyFont="1" applyFill="1" applyBorder="1" applyAlignment="1" applyProtection="1">
      <alignment horizontal="center" vertical="center" wrapText="1"/>
    </xf>
    <xf numFmtId="0" fontId="45" fillId="27" borderId="87" xfId="0" applyNumberFormat="1" applyFont="1" applyFill="1" applyBorder="1" applyAlignment="1" applyProtection="1">
      <alignment horizontal="center" vertical="center" wrapText="1"/>
    </xf>
    <xf numFmtId="0" fontId="45" fillId="27" borderId="74" xfId="0" applyNumberFormat="1" applyFont="1" applyFill="1" applyBorder="1" applyAlignment="1" applyProtection="1">
      <alignment horizontal="center" vertical="center" wrapText="1"/>
    </xf>
    <xf numFmtId="0" fontId="45" fillId="27" borderId="225" xfId="0" applyNumberFormat="1" applyFont="1" applyFill="1" applyBorder="1" applyAlignment="1" applyProtection="1">
      <alignment horizontal="center" vertical="center" wrapText="1"/>
    </xf>
    <xf numFmtId="0" fontId="45" fillId="27" borderId="224" xfId="0" applyNumberFormat="1" applyFont="1" applyFill="1" applyBorder="1" applyAlignment="1" applyProtection="1">
      <alignment horizontal="center" vertical="center" wrapText="1"/>
    </xf>
    <xf numFmtId="170" fontId="45" fillId="28" borderId="87" xfId="0" applyNumberFormat="1" applyFont="1" applyFill="1" applyBorder="1" applyAlignment="1" applyProtection="1">
      <alignment horizontal="center" vertical="center" wrapText="1"/>
    </xf>
    <xf numFmtId="170" fontId="45" fillId="28" borderId="228" xfId="0" applyNumberFormat="1" applyFont="1" applyFill="1" applyBorder="1" applyAlignment="1" applyProtection="1">
      <alignment horizontal="center" vertical="center" wrapText="1"/>
    </xf>
    <xf numFmtId="0" fontId="45" fillId="26" borderId="2" xfId="0" applyNumberFormat="1" applyFont="1" applyFill="1" applyBorder="1" applyAlignment="1" applyProtection="1">
      <alignment vertical="center" wrapText="1"/>
    </xf>
    <xf numFmtId="49" fontId="7" fillId="0" borderId="16" xfId="0" applyNumberFormat="1" applyFont="1" applyBorder="1" applyAlignment="1" applyProtection="1">
      <alignment horizontal="center"/>
    </xf>
    <xf numFmtId="49" fontId="7" fillId="0" borderId="31" xfId="0" applyNumberFormat="1" applyFont="1" applyBorder="1" applyAlignment="1" applyProtection="1">
      <alignment horizontal="center"/>
    </xf>
    <xf numFmtId="0" fontId="45" fillId="26" borderId="225" xfId="0" applyNumberFormat="1" applyFont="1" applyFill="1" applyBorder="1" applyAlignment="1" applyProtection="1">
      <alignment horizontal="center" vertical="center" wrapText="1"/>
    </xf>
    <xf numFmtId="0" fontId="45" fillId="26" borderId="224" xfId="0" applyNumberFormat="1" applyFont="1" applyFill="1" applyBorder="1" applyAlignment="1" applyProtection="1">
      <alignment horizontal="center" vertical="center" wrapText="1"/>
    </xf>
    <xf numFmtId="170" fontId="0" fillId="0" borderId="127" xfId="0" applyBorder="1" applyAlignment="1" applyProtection="1">
      <alignment horizontal="center"/>
    </xf>
    <xf numFmtId="170" fontId="0" fillId="0" borderId="13" xfId="0" applyBorder="1" applyAlignment="1" applyProtection="1">
      <alignment horizontal="center"/>
    </xf>
    <xf numFmtId="170" fontId="0" fillId="0" borderId="123" xfId="0" applyFill="1" applyBorder="1" applyAlignment="1" applyProtection="1">
      <alignment horizontal="center" vertical="center"/>
    </xf>
    <xf numFmtId="170" fontId="0" fillId="0" borderId="124" xfId="0" applyFill="1" applyBorder="1" applyAlignment="1" applyProtection="1">
      <alignment horizontal="center" vertical="center"/>
    </xf>
    <xf numFmtId="170" fontId="0" fillId="0" borderId="125" xfId="0" applyFill="1" applyBorder="1" applyAlignment="1" applyProtection="1">
      <alignment horizontal="center" vertical="center"/>
    </xf>
    <xf numFmtId="170" fontId="85" fillId="0" borderId="86" xfId="0" applyFont="1" applyBorder="1" applyAlignment="1" applyProtection="1">
      <alignment horizontal="right"/>
    </xf>
    <xf numFmtId="170" fontId="85" fillId="0" borderId="126" xfId="0" applyFont="1" applyBorder="1" applyAlignment="1" applyProtection="1">
      <alignment horizontal="right"/>
    </xf>
    <xf numFmtId="49" fontId="45" fillId="0" borderId="132" xfId="0" applyNumberFormat="1" applyFont="1" applyFill="1" applyBorder="1" applyAlignment="1" applyProtection="1">
      <alignment horizontal="justify" vertical="center" wrapText="1"/>
    </xf>
    <xf numFmtId="49" fontId="45" fillId="0" borderId="108" xfId="0" applyNumberFormat="1" applyFont="1" applyFill="1" applyBorder="1" applyAlignment="1" applyProtection="1">
      <alignment horizontal="justify" vertical="center" wrapText="1"/>
    </xf>
    <xf numFmtId="49" fontId="45" fillId="0" borderId="133" xfId="0" applyNumberFormat="1" applyFont="1" applyFill="1" applyBorder="1" applyAlignment="1" applyProtection="1">
      <alignment horizontal="justify" vertical="center" wrapText="1"/>
    </xf>
    <xf numFmtId="49" fontId="45" fillId="0" borderId="72" xfId="0" applyNumberFormat="1" applyFont="1" applyFill="1" applyBorder="1" applyAlignment="1" applyProtection="1">
      <alignment horizontal="justify" vertical="center" wrapText="1"/>
    </xf>
    <xf numFmtId="49" fontId="45" fillId="0" borderId="73" xfId="0" applyNumberFormat="1" applyFont="1" applyFill="1" applyBorder="1" applyAlignment="1" applyProtection="1">
      <alignment horizontal="justify" vertical="center" wrapText="1"/>
    </xf>
    <xf numFmtId="49" fontId="45" fillId="0" borderId="77" xfId="0" applyNumberFormat="1" applyFont="1" applyFill="1" applyBorder="1" applyAlignment="1" applyProtection="1">
      <alignment horizontal="justify" vertical="center" wrapText="1"/>
    </xf>
    <xf numFmtId="0" fontId="45" fillId="10" borderId="119" xfId="0" applyNumberFormat="1" applyFont="1" applyFill="1" applyBorder="1" applyAlignment="1" applyProtection="1">
      <alignment horizontal="center" vertical="center" wrapText="1"/>
    </xf>
    <xf numFmtId="170" fontId="45" fillId="10" borderId="132" xfId="0" applyFont="1" applyFill="1" applyBorder="1" applyAlignment="1" applyProtection="1">
      <alignment horizontal="justify" vertical="center" wrapText="1"/>
    </xf>
    <xf numFmtId="170" fontId="45" fillId="10" borderId="108" xfId="0" applyFont="1" applyFill="1" applyBorder="1" applyAlignment="1" applyProtection="1">
      <alignment horizontal="justify" vertical="center" wrapText="1"/>
    </xf>
    <xf numFmtId="170" fontId="45" fillId="10" borderId="133" xfId="0" applyFont="1" applyFill="1" applyBorder="1" applyAlignment="1" applyProtection="1">
      <alignment horizontal="justify" vertical="center" wrapText="1"/>
    </xf>
    <xf numFmtId="170" fontId="45" fillId="10" borderId="72" xfId="0" applyFont="1" applyFill="1" applyBorder="1" applyAlignment="1" applyProtection="1">
      <alignment horizontal="justify" vertical="center" wrapText="1"/>
    </xf>
    <xf numFmtId="170" fontId="45" fillId="10" borderId="73" xfId="0" applyFont="1" applyFill="1" applyBorder="1" applyAlignment="1" applyProtection="1">
      <alignment horizontal="justify" vertical="center" wrapText="1"/>
    </xf>
    <xf numFmtId="170" fontId="45" fillId="10" borderId="77" xfId="0" applyFont="1" applyFill="1" applyBorder="1" applyAlignment="1" applyProtection="1">
      <alignment horizontal="justify" vertical="center" wrapText="1"/>
    </xf>
    <xf numFmtId="170" fontId="45" fillId="26" borderId="2" xfId="0" applyNumberFormat="1" applyFont="1" applyFill="1" applyBorder="1" applyAlignment="1" applyProtection="1">
      <alignment vertical="center" wrapText="1"/>
    </xf>
    <xf numFmtId="0" fontId="45" fillId="27" borderId="2" xfId="0" applyNumberFormat="1" applyFont="1" applyFill="1" applyBorder="1" applyAlignment="1" applyProtection="1">
      <alignment horizontal="left" vertical="center" wrapText="1"/>
    </xf>
    <xf numFmtId="170" fontId="45" fillId="28" borderId="225" xfId="0" applyNumberFormat="1" applyFont="1" applyFill="1" applyBorder="1" applyAlignment="1" applyProtection="1">
      <alignment horizontal="center" vertical="center" wrapText="1"/>
    </xf>
    <xf numFmtId="170" fontId="45" fillId="28" borderId="226" xfId="0" applyNumberFormat="1" applyFont="1" applyFill="1" applyBorder="1" applyAlignment="1" applyProtection="1">
      <alignment horizontal="center" vertical="center" wrapText="1"/>
    </xf>
    <xf numFmtId="170" fontId="106" fillId="0" borderId="108" xfId="0" applyFont="1" applyFill="1" applyBorder="1" applyAlignment="1" applyProtection="1">
      <alignment horizontal="justify" vertical="center" wrapText="1"/>
    </xf>
    <xf numFmtId="170" fontId="106" fillId="0" borderId="133" xfId="0" applyFont="1" applyFill="1" applyBorder="1" applyAlignment="1" applyProtection="1">
      <alignment horizontal="justify" vertical="center" wrapText="1"/>
    </xf>
    <xf numFmtId="170" fontId="106" fillId="0" borderId="72" xfId="0" applyFont="1" applyFill="1" applyBorder="1" applyAlignment="1" applyProtection="1">
      <alignment horizontal="justify" vertical="center" wrapText="1"/>
    </xf>
    <xf numFmtId="170" fontId="106" fillId="0" borderId="73" xfId="0" applyFont="1" applyFill="1" applyBorder="1" applyAlignment="1" applyProtection="1">
      <alignment horizontal="justify" vertical="center" wrapText="1"/>
    </xf>
    <xf numFmtId="170" fontId="106" fillId="0" borderId="77" xfId="0" applyFont="1" applyFill="1" applyBorder="1" applyAlignment="1" applyProtection="1">
      <alignment horizontal="justify" vertical="center" wrapText="1"/>
    </xf>
    <xf numFmtId="170" fontId="45" fillId="0" borderId="115" xfId="0" applyFont="1" applyFill="1" applyBorder="1" applyAlignment="1" applyProtection="1">
      <alignment horizontal="center" vertical="center" wrapText="1"/>
    </xf>
    <xf numFmtId="170" fontId="45" fillId="0" borderId="219" xfId="0" applyFont="1" applyFill="1" applyBorder="1" applyAlignment="1" applyProtection="1">
      <alignment horizontal="center" vertical="center" wrapText="1"/>
    </xf>
    <xf numFmtId="0" fontId="45" fillId="0" borderId="87" xfId="0" applyNumberFormat="1" applyFont="1" applyFill="1" applyBorder="1" applyAlignment="1" applyProtection="1">
      <alignment horizontal="center" vertical="center" wrapText="1"/>
    </xf>
    <xf numFmtId="0" fontId="45" fillId="0" borderId="220" xfId="0" applyNumberFormat="1" applyFont="1" applyFill="1" applyBorder="1" applyAlignment="1" applyProtection="1">
      <alignment horizontal="center" vertical="center" wrapText="1"/>
    </xf>
    <xf numFmtId="170" fontId="45" fillId="26" borderId="227" xfId="0" applyNumberFormat="1" applyFont="1" applyFill="1" applyBorder="1" applyAlignment="1" applyProtection="1">
      <alignment horizontal="center" vertical="center" wrapText="1"/>
    </xf>
    <xf numFmtId="170" fontId="45" fillId="26" borderId="223" xfId="0" applyNumberFormat="1" applyFont="1" applyFill="1" applyBorder="1" applyAlignment="1" applyProtection="1">
      <alignment horizontal="center" vertical="center" wrapText="1"/>
    </xf>
    <xf numFmtId="170" fontId="45" fillId="10" borderId="29" xfId="0" applyFont="1" applyFill="1" applyBorder="1" applyAlignment="1" applyProtection="1">
      <alignment horizontal="center" vertical="center" wrapText="1"/>
    </xf>
    <xf numFmtId="170" fontId="45" fillId="0" borderId="29" xfId="0" applyFont="1" applyFill="1" applyBorder="1" applyAlignment="1" applyProtection="1">
      <alignment horizontal="center" vertical="center" wrapText="1"/>
    </xf>
    <xf numFmtId="0" fontId="45" fillId="0" borderId="119" xfId="0" applyNumberFormat="1" applyFont="1" applyFill="1" applyBorder="1" applyAlignment="1" applyProtection="1">
      <alignment horizontal="center" vertical="center" wrapText="1"/>
    </xf>
    <xf numFmtId="170" fontId="56" fillId="0" borderId="128" xfId="0" applyFont="1" applyBorder="1" applyAlignment="1" applyProtection="1">
      <alignment horizontal="right"/>
    </xf>
    <xf numFmtId="170" fontId="92" fillId="0" borderId="128" xfId="0" applyFont="1" applyBorder="1" applyAlignment="1" applyProtection="1"/>
    <xf numFmtId="170" fontId="85" fillId="0" borderId="0" xfId="0" applyFont="1" applyAlignment="1" applyProtection="1">
      <alignment horizontal="right"/>
    </xf>
    <xf numFmtId="164" fontId="7" fillId="0" borderId="129" xfId="0" applyNumberFormat="1" applyFont="1" applyBorder="1" applyAlignment="1" applyProtection="1">
      <alignment horizontal="center"/>
    </xf>
    <xf numFmtId="170" fontId="7" fillId="0" borderId="130" xfId="0" applyFont="1" applyBorder="1" applyAlignment="1" applyProtection="1">
      <alignment horizontal="center"/>
    </xf>
    <xf numFmtId="170" fontId="7" fillId="0" borderId="131" xfId="0" applyFont="1" applyBorder="1" applyAlignment="1" applyProtection="1">
      <alignment horizontal="center"/>
    </xf>
    <xf numFmtId="170" fontId="19" fillId="0" borderId="134" xfId="0" applyFont="1" applyBorder="1" applyAlignment="1" applyProtection="1">
      <alignment horizontal="center" wrapText="1"/>
    </xf>
    <xf numFmtId="170" fontId="19" fillId="0" borderId="135" xfId="0" applyFont="1" applyBorder="1" applyAlignment="1" applyProtection="1">
      <alignment horizontal="center" wrapText="1"/>
    </xf>
    <xf numFmtId="170" fontId="19" fillId="0" borderId="136" xfId="0" applyFont="1" applyBorder="1" applyAlignment="1" applyProtection="1">
      <alignment horizontal="center" wrapText="1"/>
    </xf>
    <xf numFmtId="170" fontId="0" fillId="5" borderId="27" xfId="0" applyFill="1" applyBorder="1" applyAlignment="1" applyProtection="1">
      <alignment horizontal="center"/>
    </xf>
    <xf numFmtId="170" fontId="0" fillId="5" borderId="29" xfId="0" applyFill="1" applyBorder="1" applyAlignment="1" applyProtection="1">
      <alignment horizontal="center"/>
    </xf>
    <xf numFmtId="170" fontId="85" fillId="0" borderId="0" xfId="0" applyFont="1" applyBorder="1" applyAlignment="1" applyProtection="1">
      <alignment horizontal="right"/>
    </xf>
    <xf numFmtId="49" fontId="0" fillId="0" borderId="2" xfId="0" applyNumberFormat="1" applyBorder="1" applyAlignment="1" applyProtection="1">
      <alignment horizontal="center"/>
    </xf>
    <xf numFmtId="164" fontId="42" fillId="14" borderId="0" xfId="4" applyFont="1" applyFill="1" applyAlignment="1" applyProtection="1">
      <alignment horizontal="center" vertical="center"/>
    </xf>
    <xf numFmtId="49" fontId="0" fillId="0" borderId="27" xfId="0" applyNumberFormat="1" applyBorder="1" applyAlignment="1" applyProtection="1">
      <alignment horizontal="center"/>
    </xf>
    <xf numFmtId="49" fontId="0" fillId="0" borderId="29" xfId="0" applyNumberFormat="1" applyBorder="1" applyAlignment="1" applyProtection="1">
      <alignment horizontal="center"/>
    </xf>
    <xf numFmtId="49" fontId="0" fillId="0" borderId="27" xfId="0" applyNumberFormat="1" applyBorder="1" applyAlignment="1" applyProtection="1">
      <alignment horizontal="justify" wrapText="1"/>
    </xf>
    <xf numFmtId="49" fontId="0" fillId="0" borderId="28" xfId="0" applyNumberFormat="1" applyBorder="1" applyAlignment="1" applyProtection="1">
      <alignment horizontal="justify" wrapText="1"/>
    </xf>
    <xf numFmtId="49" fontId="0" fillId="0" borderId="29" xfId="0" applyNumberFormat="1" applyBorder="1" applyAlignment="1" applyProtection="1">
      <alignment horizontal="justify" wrapText="1"/>
    </xf>
    <xf numFmtId="170" fontId="112" fillId="0" borderId="86" xfId="0" applyFont="1" applyFill="1" applyBorder="1" applyAlignment="1" applyProtection="1">
      <alignment horizontal="right" wrapText="1"/>
    </xf>
    <xf numFmtId="170" fontId="112" fillId="0" borderId="126" xfId="0" applyFont="1" applyFill="1" applyBorder="1" applyAlignment="1" applyProtection="1">
      <alignment horizontal="right" wrapText="1"/>
    </xf>
    <xf numFmtId="171" fontId="96" fillId="0" borderId="2" xfId="20" applyNumberFormat="1" applyFont="1" applyFill="1" applyBorder="1" applyAlignment="1" applyProtection="1">
      <alignment horizontal="center"/>
    </xf>
    <xf numFmtId="171" fontId="104" fillId="0" borderId="2" xfId="20" applyNumberFormat="1" applyFill="1" applyBorder="1" applyAlignment="1" applyProtection="1">
      <alignment horizontal="center"/>
    </xf>
    <xf numFmtId="172" fontId="106" fillId="0" borderId="27" xfId="0" applyNumberFormat="1" applyFont="1" applyFill="1" applyBorder="1" applyAlignment="1" applyProtection="1">
      <alignment horizontal="center"/>
    </xf>
    <xf numFmtId="172" fontId="106" fillId="0" borderId="29" xfId="0" applyNumberFormat="1" applyFont="1" applyFill="1" applyBorder="1" applyAlignment="1" applyProtection="1">
      <alignment horizontal="center"/>
    </xf>
    <xf numFmtId="49" fontId="109" fillId="0" borderId="2" xfId="0" applyNumberFormat="1" applyFont="1" applyBorder="1" applyAlignment="1" applyProtection="1">
      <alignment horizontal="center"/>
    </xf>
    <xf numFmtId="49" fontId="0" fillId="0" borderId="28" xfId="0" applyNumberFormat="1" applyBorder="1" applyAlignment="1" applyProtection="1">
      <alignment horizontal="center"/>
    </xf>
    <xf numFmtId="164" fontId="8" fillId="16" borderId="2" xfId="20" applyFont="1" applyFill="1" applyBorder="1" applyAlignment="1" applyProtection="1">
      <alignment horizontal="center"/>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170" fontId="51" fillId="0" borderId="120" xfId="0" applyFont="1" applyFill="1" applyBorder="1" applyAlignment="1" applyProtection="1">
      <alignment horizontal="center" vertical="center"/>
    </xf>
    <xf numFmtId="170" fontId="51" fillId="0" borderId="121" xfId="0" applyFont="1" applyFill="1" applyBorder="1" applyAlignment="1" applyProtection="1">
      <alignment horizontal="center" vertical="center"/>
    </xf>
    <xf numFmtId="170" fontId="51" fillId="0" borderId="122" xfId="0" applyFont="1" applyFill="1" applyBorder="1" applyAlignment="1" applyProtection="1">
      <alignment horizontal="center" vertical="center"/>
    </xf>
    <xf numFmtId="164" fontId="17" fillId="6" borderId="25" xfId="20" applyFont="1" applyFill="1" applyBorder="1" applyAlignment="1" applyProtection="1">
      <alignment horizontal="center"/>
    </xf>
    <xf numFmtId="164" fontId="1" fillId="0" borderId="25" xfId="20" applyFont="1" applyFill="1" applyBorder="1" applyAlignment="1" applyProtection="1">
      <alignment horizontal="right"/>
    </xf>
    <xf numFmtId="164" fontId="87" fillId="13" borderId="25" xfId="20" applyFont="1" applyFill="1" applyBorder="1" applyAlignment="1" applyProtection="1">
      <alignment horizontal="center"/>
    </xf>
    <xf numFmtId="164" fontId="1" fillId="0" borderId="25" xfId="20" applyFont="1" applyFill="1" applyBorder="1" applyAlignment="1" applyProtection="1">
      <alignment horizontal="right" wrapText="1"/>
    </xf>
    <xf numFmtId="171" fontId="17" fillId="6" borderId="25" xfId="20" applyNumberFormat="1" applyFont="1" applyFill="1" applyBorder="1" applyAlignment="1" applyProtection="1">
      <alignment horizontal="center"/>
    </xf>
    <xf numFmtId="171" fontId="0" fillId="0" borderId="25" xfId="0" applyNumberFormat="1" applyBorder="1" applyAlignment="1" applyProtection="1"/>
    <xf numFmtId="164" fontId="110" fillId="14" borderId="0" xfId="4" applyFont="1" applyFill="1" applyAlignment="1" applyProtection="1">
      <alignment horizontal="center" vertical="center"/>
    </xf>
    <xf numFmtId="164" fontId="26" fillId="6" borderId="0" xfId="15" applyFont="1" applyFill="1" applyAlignment="1" applyProtection="1">
      <alignment horizontal="center" vertical="center" wrapText="1"/>
    </xf>
    <xf numFmtId="173" fontId="17" fillId="6" borderId="25" xfId="20" applyNumberFormat="1" applyFont="1" applyFill="1" applyBorder="1" applyAlignment="1" applyProtection="1">
      <alignment horizontal="center" vertical="center"/>
    </xf>
    <xf numFmtId="164" fontId="1" fillId="0" borderId="25" xfId="20" applyFont="1" applyBorder="1" applyAlignment="1" applyProtection="1">
      <alignment horizontal="right"/>
    </xf>
    <xf numFmtId="164" fontId="13" fillId="0" borderId="0" xfId="15" applyFont="1" applyFill="1" applyAlignment="1" applyProtection="1">
      <alignment horizontal="right" vertical="center"/>
    </xf>
    <xf numFmtId="164" fontId="17" fillId="6" borderId="0" xfId="15" applyFont="1" applyFill="1" applyAlignment="1" applyProtection="1">
      <alignment horizontal="center" vertical="center" wrapText="1"/>
    </xf>
    <xf numFmtId="164" fontId="42" fillId="14" borderId="0" xfId="13" applyFont="1" applyFill="1" applyAlignment="1" applyProtection="1">
      <alignment horizontal="center" vertical="center"/>
    </xf>
    <xf numFmtId="164" fontId="8" fillId="13" borderId="0" xfId="20" applyFont="1" applyFill="1" applyBorder="1" applyAlignment="1" applyProtection="1">
      <alignment horizontal="center"/>
    </xf>
    <xf numFmtId="170" fontId="82" fillId="0" borderId="0" xfId="0" applyFont="1" applyAlignment="1" applyProtection="1">
      <alignment horizontal="center"/>
    </xf>
    <xf numFmtId="164" fontId="7" fillId="0" borderId="0" xfId="0" applyNumberFormat="1" applyFont="1" applyAlignment="1" applyProtection="1">
      <alignment horizontal="center"/>
    </xf>
    <xf numFmtId="164" fontId="21" fillId="0" borderId="0" xfId="0" applyNumberFormat="1" applyFont="1" applyAlignment="1" applyProtection="1">
      <alignment horizontal="right"/>
    </xf>
    <xf numFmtId="164" fontId="21" fillId="0" borderId="0" xfId="0" applyNumberFormat="1" applyFont="1" applyAlignment="1" applyProtection="1">
      <alignment horizontal="left"/>
    </xf>
    <xf numFmtId="15" fontId="21" fillId="0" borderId="0" xfId="0" applyNumberFormat="1" applyFont="1" applyAlignment="1" applyProtection="1">
      <alignment horizontal="right"/>
    </xf>
    <xf numFmtId="164" fontId="28" fillId="0" borderId="0" xfId="0" applyNumberFormat="1" applyFont="1" applyAlignment="1" applyProtection="1">
      <alignment wrapText="1"/>
    </xf>
    <xf numFmtId="170" fontId="0" fillId="0" borderId="0" xfId="0" applyAlignment="1" applyProtection="1">
      <alignment wrapText="1"/>
    </xf>
    <xf numFmtId="170" fontId="23" fillId="5" borderId="27" xfId="0" applyFont="1" applyFill="1" applyBorder="1" applyAlignment="1" applyProtection="1">
      <alignment horizontal="justify" vertical="center" wrapText="1"/>
      <protection locked="0"/>
    </xf>
    <xf numFmtId="170" fontId="106" fillId="0" borderId="28" xfId="0" applyFont="1" applyBorder="1" applyAlignment="1" applyProtection="1">
      <alignment horizontal="justify" vertical="center" wrapText="1"/>
      <protection locked="0"/>
    </xf>
    <xf numFmtId="170" fontId="106" fillId="0" borderId="29" xfId="0" applyFont="1" applyBorder="1" applyAlignment="1" applyProtection="1">
      <alignment horizontal="justify" vertical="center" wrapText="1"/>
      <protection locked="0"/>
    </xf>
    <xf numFmtId="164" fontId="7" fillId="0" borderId="0" xfId="0" applyNumberFormat="1" applyFont="1" applyAlignment="1" applyProtection="1">
      <alignment horizontal="center" wrapText="1"/>
    </xf>
    <xf numFmtId="170" fontId="0" fillId="0" borderId="0" xfId="0" applyBorder="1" applyAlignment="1" applyProtection="1">
      <alignment horizontal="center"/>
    </xf>
    <xf numFmtId="170" fontId="23" fillId="5" borderId="28" xfId="0" applyFont="1" applyFill="1" applyBorder="1" applyAlignment="1" applyProtection="1">
      <alignment horizontal="justify" vertical="center" wrapText="1"/>
      <protection locked="0"/>
    </xf>
    <xf numFmtId="170" fontId="23" fillId="5" borderId="29" xfId="0" applyFont="1" applyFill="1" applyBorder="1" applyAlignment="1" applyProtection="1">
      <alignment horizontal="justify" vertical="center" wrapText="1"/>
      <protection locked="0"/>
    </xf>
    <xf numFmtId="170" fontId="7" fillId="0" borderId="0" xfId="0" applyFont="1" applyBorder="1" applyAlignment="1" applyProtection="1">
      <alignment horizontal="center"/>
    </xf>
    <xf numFmtId="164" fontId="28" fillId="0" borderId="0" xfId="0" applyNumberFormat="1" applyFont="1" applyFill="1" applyAlignment="1" applyProtection="1">
      <alignment wrapText="1"/>
    </xf>
    <xf numFmtId="170" fontId="0" fillId="0" borderId="0" xfId="0" applyFill="1" applyAlignment="1" applyProtection="1">
      <alignment wrapText="1"/>
    </xf>
    <xf numFmtId="170" fontId="57" fillId="0" borderId="0" xfId="0" applyFont="1" applyAlignment="1" applyProtection="1">
      <alignment horizontal="left" wrapText="1"/>
    </xf>
    <xf numFmtId="170" fontId="147" fillId="0" borderId="123" xfId="0" applyFont="1" applyFill="1" applyBorder="1" applyAlignment="1" applyProtection="1">
      <alignment horizontal="center" vertical="center"/>
    </xf>
    <xf numFmtId="170" fontId="147" fillId="0" borderId="124" xfId="0" applyFont="1" applyFill="1" applyBorder="1" applyAlignment="1" applyProtection="1">
      <alignment horizontal="center" vertical="center"/>
    </xf>
    <xf numFmtId="170" fontId="147" fillId="0" borderId="125" xfId="0" applyFont="1" applyFill="1" applyBorder="1" applyAlignment="1" applyProtection="1">
      <alignment horizontal="center" vertical="center"/>
    </xf>
    <xf numFmtId="164" fontId="111" fillId="14" borderId="0" xfId="4" applyFont="1" applyFill="1" applyAlignment="1" applyProtection="1">
      <alignment horizontal="center" vertical="center"/>
    </xf>
    <xf numFmtId="170" fontId="0" fillId="0" borderId="137" xfId="0" applyBorder="1" applyAlignment="1" applyProtection="1">
      <alignment horizontal="center"/>
    </xf>
    <xf numFmtId="170" fontId="0" fillId="0" borderId="42" xfId="0" applyBorder="1" applyAlignment="1" applyProtection="1">
      <alignment horizontal="center"/>
    </xf>
    <xf numFmtId="170" fontId="88" fillId="0" borderId="138" xfId="0" applyFont="1" applyFill="1" applyBorder="1" applyAlignment="1" applyProtection="1">
      <alignment horizontal="left" wrapText="1"/>
    </xf>
    <xf numFmtId="170" fontId="88" fillId="0" borderId="139" xfId="0" applyFont="1" applyFill="1" applyBorder="1" applyAlignment="1" applyProtection="1">
      <alignment horizontal="left" wrapText="1"/>
    </xf>
    <xf numFmtId="164" fontId="30" fillId="0" borderId="0" xfId="0" applyNumberFormat="1" applyFont="1" applyAlignment="1" applyProtection="1">
      <alignment wrapText="1"/>
    </xf>
    <xf numFmtId="170" fontId="0" fillId="0" borderId="0" xfId="0" applyAlignment="1" applyProtection="1"/>
    <xf numFmtId="170" fontId="88" fillId="0" borderId="140" xfId="0" applyFont="1" applyFill="1" applyBorder="1" applyAlignment="1" applyProtection="1">
      <alignment horizontal="left" wrapText="1"/>
    </xf>
    <xf numFmtId="170" fontId="88" fillId="0" borderId="68" xfId="0" applyFont="1" applyFill="1" applyBorder="1" applyAlignment="1" applyProtection="1">
      <alignment horizontal="left" wrapText="1"/>
    </xf>
    <xf numFmtId="164" fontId="30" fillId="0" borderId="0" xfId="0" applyNumberFormat="1" applyFont="1" applyBorder="1" applyAlignment="1" applyProtection="1">
      <alignment wrapText="1"/>
    </xf>
    <xf numFmtId="170" fontId="125" fillId="5" borderId="27" xfId="0" applyFont="1" applyFill="1" applyBorder="1" applyAlignment="1" applyProtection="1">
      <alignment horizontal="justify" vertical="center" wrapText="1"/>
      <protection locked="0"/>
    </xf>
    <xf numFmtId="170" fontId="125" fillId="5" borderId="28" xfId="0" applyFont="1" applyFill="1" applyBorder="1" applyAlignment="1" applyProtection="1">
      <alignment horizontal="justify" vertical="center" wrapText="1"/>
      <protection locked="0"/>
    </xf>
    <xf numFmtId="170" fontId="125" fillId="5" borderId="29" xfId="0" applyFont="1" applyFill="1" applyBorder="1" applyAlignment="1" applyProtection="1">
      <alignment horizontal="justify" vertical="center" wrapText="1"/>
      <protection locked="0"/>
    </xf>
    <xf numFmtId="164" fontId="81" fillId="0" borderId="116" xfId="0" applyNumberFormat="1" applyFont="1" applyBorder="1" applyAlignment="1" applyProtection="1">
      <alignment horizontal="center" vertical="center" wrapText="1"/>
    </xf>
    <xf numFmtId="164" fontId="81" fillId="0" borderId="117" xfId="0" applyNumberFormat="1" applyFont="1" applyBorder="1" applyAlignment="1" applyProtection="1">
      <alignment horizontal="center" vertical="center" wrapText="1"/>
    </xf>
    <xf numFmtId="164" fontId="81" fillId="0" borderId="118" xfId="0" applyNumberFormat="1" applyFont="1" applyBorder="1" applyAlignment="1" applyProtection="1">
      <alignment horizontal="center" vertical="center" wrapText="1"/>
    </xf>
    <xf numFmtId="170" fontId="123" fillId="0" borderId="28" xfId="0" applyFont="1" applyBorder="1" applyAlignment="1" applyProtection="1">
      <alignment horizontal="justify" vertical="center" wrapText="1"/>
      <protection locked="0"/>
    </xf>
    <xf numFmtId="170" fontId="123" fillId="0" borderId="29" xfId="0" applyFont="1" applyBorder="1" applyAlignment="1" applyProtection="1">
      <alignment horizontal="justify" vertical="center" wrapText="1"/>
      <protection locked="0"/>
    </xf>
    <xf numFmtId="170" fontId="129" fillId="5" borderId="27" xfId="0" applyFont="1" applyFill="1" applyBorder="1" applyAlignment="1" applyProtection="1">
      <alignment horizontal="justify" vertical="center" wrapText="1"/>
      <protection locked="0"/>
    </xf>
    <xf numFmtId="170" fontId="126" fillId="0" borderId="28" xfId="0" applyFont="1" applyBorder="1" applyAlignment="1" applyProtection="1">
      <alignment horizontal="justify" vertical="center" wrapText="1"/>
      <protection locked="0"/>
    </xf>
    <xf numFmtId="170" fontId="126" fillId="0" borderId="29" xfId="0" applyFont="1" applyBorder="1" applyAlignment="1" applyProtection="1">
      <alignment horizontal="justify" vertical="center" wrapText="1"/>
      <protection locked="0"/>
    </xf>
    <xf numFmtId="170" fontId="80" fillId="0" borderId="2" xfId="0" applyFont="1" applyBorder="1" applyAlignment="1" applyProtection="1">
      <alignment horizontal="justify" vertical="center" wrapText="1"/>
    </xf>
    <xf numFmtId="176" fontId="21" fillId="0" borderId="27" xfId="19" applyNumberFormat="1" applyFont="1" applyBorder="1" applyAlignment="1" applyProtection="1">
      <alignment horizontal="center" vertical="center" wrapText="1"/>
    </xf>
    <xf numFmtId="176" fontId="21" fillId="0" borderId="28" xfId="19" applyNumberFormat="1" applyFont="1" applyBorder="1" applyAlignment="1" applyProtection="1">
      <alignment horizontal="center" vertical="center" wrapText="1"/>
    </xf>
    <xf numFmtId="176" fontId="21" fillId="0" borderId="29" xfId="19" applyNumberFormat="1" applyFont="1" applyBorder="1" applyAlignment="1" applyProtection="1">
      <alignment horizontal="center" vertical="center" wrapText="1"/>
    </xf>
    <xf numFmtId="9" fontId="23" fillId="5" borderId="2" xfId="19" applyFont="1" applyFill="1" applyBorder="1" applyAlignment="1" applyProtection="1">
      <alignment horizontal="justify" vertical="center" wrapText="1"/>
      <protection locked="0"/>
    </xf>
    <xf numFmtId="9" fontId="146" fillId="5" borderId="2" xfId="19" applyFont="1" applyFill="1" applyBorder="1" applyAlignment="1" applyProtection="1">
      <alignment horizontal="justify" vertical="center" wrapText="1"/>
      <protection locked="0"/>
    </xf>
    <xf numFmtId="170" fontId="23" fillId="5" borderId="27" xfId="19" applyNumberFormat="1" applyFont="1" applyFill="1" applyBorder="1" applyAlignment="1" applyProtection="1">
      <alignment horizontal="justify" vertical="center" wrapText="1"/>
      <protection locked="0"/>
    </xf>
    <xf numFmtId="170" fontId="146" fillId="5" borderId="28" xfId="19" applyNumberFormat="1" applyFont="1" applyFill="1" applyBorder="1" applyAlignment="1" applyProtection="1">
      <alignment horizontal="justify" vertical="center" wrapText="1"/>
      <protection locked="0"/>
    </xf>
    <xf numFmtId="170" fontId="146" fillId="5" borderId="29" xfId="19" applyNumberFormat="1" applyFont="1" applyFill="1" applyBorder="1" applyAlignment="1" applyProtection="1">
      <alignment horizontal="justify" vertical="center" wrapText="1"/>
      <protection locked="0"/>
    </xf>
    <xf numFmtId="170" fontId="27" fillId="0" borderId="27" xfId="0" applyFont="1" applyBorder="1" applyAlignment="1" applyProtection="1">
      <alignment horizontal="center" vertical="center"/>
    </xf>
    <xf numFmtId="170" fontId="27" fillId="0" borderId="28" xfId="0" applyFont="1" applyBorder="1" applyAlignment="1" applyProtection="1">
      <alignment horizontal="center" vertical="center"/>
    </xf>
    <xf numFmtId="170" fontId="27" fillId="0" borderId="29" xfId="0" applyFont="1" applyBorder="1" applyAlignment="1" applyProtection="1">
      <alignment horizontal="center" vertical="center"/>
    </xf>
    <xf numFmtId="9" fontId="30" fillId="15" borderId="27" xfId="19" applyFont="1" applyFill="1" applyBorder="1" applyAlignment="1" applyProtection="1">
      <alignment horizontal="center" vertical="center" wrapText="1"/>
    </xf>
    <xf numFmtId="9" fontId="30" fillId="15" borderId="29" xfId="19" applyFont="1" applyFill="1" applyBorder="1" applyAlignment="1" applyProtection="1">
      <alignment horizontal="center" vertical="center" wrapText="1"/>
    </xf>
    <xf numFmtId="9" fontId="30" fillId="17" borderId="27" xfId="19" applyFont="1" applyFill="1" applyBorder="1" applyAlignment="1" applyProtection="1">
      <alignment horizontal="center" vertical="center" wrapText="1"/>
    </xf>
    <xf numFmtId="9" fontId="30" fillId="17" borderId="29" xfId="19" applyFont="1" applyFill="1" applyBorder="1" applyAlignment="1" applyProtection="1">
      <alignment horizontal="center" vertical="center" wrapText="1"/>
    </xf>
    <xf numFmtId="9" fontId="127" fillId="5" borderId="2" xfId="19" applyFont="1" applyFill="1" applyBorder="1" applyAlignment="1" applyProtection="1">
      <alignment horizontal="justify" vertical="center" wrapText="1"/>
      <protection locked="0"/>
    </xf>
    <xf numFmtId="9" fontId="23" fillId="5" borderId="28" xfId="19" applyFont="1" applyFill="1" applyBorder="1" applyAlignment="1" applyProtection="1">
      <alignment horizontal="justify" vertical="center" wrapText="1"/>
      <protection locked="0"/>
    </xf>
    <xf numFmtId="9" fontId="23" fillId="5" borderId="29" xfId="19" applyFont="1" applyFill="1" applyBorder="1" applyAlignment="1" applyProtection="1">
      <alignment horizontal="justify" vertical="center" wrapText="1"/>
      <protection locked="0"/>
    </xf>
    <xf numFmtId="170" fontId="23" fillId="5" borderId="28" xfId="19" applyNumberFormat="1" applyFont="1" applyFill="1" applyBorder="1" applyAlignment="1" applyProtection="1">
      <alignment horizontal="justify" vertical="center" wrapText="1"/>
      <protection locked="0"/>
    </xf>
    <xf numFmtId="170" fontId="23" fillId="5" borderId="29" xfId="19" applyNumberFormat="1" applyFont="1" applyFill="1" applyBorder="1" applyAlignment="1" applyProtection="1">
      <alignment horizontal="justify" vertical="center" wrapText="1"/>
      <protection locked="0"/>
    </xf>
    <xf numFmtId="170" fontId="124" fillId="5" borderId="27" xfId="0" applyFont="1" applyFill="1" applyBorder="1" applyAlignment="1" applyProtection="1">
      <alignment horizontal="justify" vertical="top" wrapText="1"/>
      <protection locked="0"/>
    </xf>
    <xf numFmtId="170" fontId="124" fillId="5" borderId="28" xfId="0" applyFont="1" applyFill="1" applyBorder="1" applyAlignment="1" applyProtection="1">
      <alignment horizontal="justify" vertical="top" wrapText="1"/>
      <protection locked="0"/>
    </xf>
    <xf numFmtId="170" fontId="124" fillId="5" borderId="29" xfId="0" applyFont="1" applyFill="1" applyBorder="1" applyAlignment="1" applyProtection="1">
      <alignment horizontal="justify" vertical="top" wrapText="1"/>
      <protection locked="0"/>
    </xf>
    <xf numFmtId="164" fontId="21" fillId="0" borderId="0" xfId="0" applyNumberFormat="1" applyFont="1" applyAlignment="1" applyProtection="1">
      <alignment horizontal="right" wrapText="1"/>
    </xf>
    <xf numFmtId="174" fontId="83" fillId="0" borderId="28" xfId="0" applyNumberFormat="1" applyFont="1" applyBorder="1" applyAlignment="1" applyProtection="1">
      <alignment horizontal="justify" vertical="center" wrapText="1"/>
    </xf>
    <xf numFmtId="170" fontId="83" fillId="0" borderId="28" xfId="0" applyFont="1" applyBorder="1" applyAlignment="1" applyProtection="1">
      <alignment horizontal="justify" vertical="center" wrapText="1"/>
    </xf>
    <xf numFmtId="170" fontId="128" fillId="0" borderId="28" xfId="0" applyFont="1" applyBorder="1" applyAlignment="1" applyProtection="1">
      <alignment horizontal="justify" vertical="top" wrapText="1"/>
      <protection locked="0"/>
    </xf>
    <xf numFmtId="170" fontId="128" fillId="0" borderId="29" xfId="0" applyFont="1" applyBorder="1" applyAlignment="1" applyProtection="1">
      <alignment horizontal="justify" vertical="top" wrapText="1"/>
      <protection locked="0"/>
    </xf>
    <xf numFmtId="170" fontId="26" fillId="0" borderId="73" xfId="0" applyFont="1" applyBorder="1" applyAlignment="1" applyProtection="1">
      <alignment horizontal="center"/>
    </xf>
    <xf numFmtId="170" fontId="27" fillId="0" borderId="2" xfId="0" applyFont="1" applyBorder="1" applyAlignment="1" applyProtection="1">
      <alignment horizontal="center" vertical="center" wrapText="1"/>
    </xf>
    <xf numFmtId="170" fontId="117" fillId="5" borderId="27" xfId="19" applyNumberFormat="1" applyFont="1" applyFill="1" applyBorder="1" applyAlignment="1" applyProtection="1">
      <alignment horizontal="justify" vertical="center" wrapText="1"/>
      <protection locked="0"/>
    </xf>
    <xf numFmtId="164" fontId="82" fillId="0" borderId="0" xfId="0" applyNumberFormat="1" applyFont="1" applyAlignment="1" applyProtection="1">
      <alignment horizontal="center"/>
    </xf>
    <xf numFmtId="164" fontId="26" fillId="0" borderId="0" xfId="0" applyNumberFormat="1" applyFont="1" applyAlignment="1" applyProtection="1">
      <alignment horizontal="center"/>
    </xf>
    <xf numFmtId="164" fontId="8" fillId="13" borderId="0" xfId="21" applyFont="1" applyFill="1" applyBorder="1" applyAlignment="1" applyProtection="1">
      <alignment horizontal="center"/>
    </xf>
    <xf numFmtId="170" fontId="116" fillId="0" borderId="159" xfId="0" applyFont="1" applyFill="1" applyBorder="1" applyAlignment="1" applyProtection="1">
      <alignment horizontal="center"/>
    </xf>
    <xf numFmtId="170" fontId="116" fillId="0" borderId="160" xfId="0" applyFont="1" applyFill="1" applyBorder="1" applyAlignment="1" applyProtection="1">
      <alignment horizontal="center"/>
    </xf>
    <xf numFmtId="170" fontId="52" fillId="0" borderId="0" xfId="0" applyFont="1" applyFill="1" applyBorder="1" applyAlignment="1" applyProtection="1">
      <alignment horizontal="center"/>
    </xf>
    <xf numFmtId="170" fontId="52" fillId="0" borderId="159" xfId="0" applyFont="1" applyFill="1" applyBorder="1" applyAlignment="1" applyProtection="1">
      <alignment horizontal="center"/>
    </xf>
    <xf numFmtId="170" fontId="41" fillId="9" borderId="147" xfId="0" applyFont="1" applyFill="1" applyBorder="1" applyAlignment="1" applyProtection="1">
      <alignment horizontal="center" vertical="center"/>
    </xf>
    <xf numFmtId="170" fontId="41" fillId="9" borderId="148" xfId="0" applyFont="1" applyFill="1" applyBorder="1" applyAlignment="1" applyProtection="1">
      <alignment horizontal="center" vertical="center"/>
    </xf>
    <xf numFmtId="170" fontId="41" fillId="9" borderId="149" xfId="0" applyFont="1" applyFill="1" applyBorder="1" applyAlignment="1" applyProtection="1">
      <alignment horizontal="center" vertical="center"/>
    </xf>
    <xf numFmtId="49" fontId="2" fillId="9" borderId="163" xfId="0" applyNumberFormat="1" applyFont="1" applyFill="1" applyBorder="1" applyAlignment="1" applyProtection="1">
      <alignment horizontal="center" vertical="center"/>
      <protection locked="0"/>
    </xf>
    <xf numFmtId="49" fontId="2" fillId="9" borderId="164" xfId="0" applyNumberFormat="1" applyFont="1" applyFill="1" applyBorder="1" applyAlignment="1" applyProtection="1">
      <alignment horizontal="center" vertical="center"/>
      <protection locked="0"/>
    </xf>
    <xf numFmtId="49" fontId="2" fillId="9" borderId="165" xfId="0" applyNumberFormat="1" applyFont="1" applyFill="1" applyBorder="1" applyAlignment="1" applyProtection="1">
      <alignment horizontal="center" vertical="center"/>
      <protection locked="0"/>
    </xf>
    <xf numFmtId="170" fontId="2" fillId="0" borderId="28" xfId="0" applyNumberFormat="1" applyFont="1" applyFill="1" applyBorder="1" applyAlignment="1" applyProtection="1">
      <alignment horizontal="justify" vertical="center" wrapText="1"/>
    </xf>
    <xf numFmtId="170" fontId="2" fillId="0" borderId="162" xfId="0" applyNumberFormat="1" applyFont="1" applyFill="1" applyBorder="1" applyAlignment="1" applyProtection="1">
      <alignment horizontal="justify" vertical="center" wrapText="1"/>
    </xf>
    <xf numFmtId="170" fontId="94" fillId="6" borderId="167" xfId="0" applyFont="1" applyFill="1" applyBorder="1" applyAlignment="1" applyProtection="1">
      <alignment horizontal="center" vertical="center"/>
    </xf>
    <xf numFmtId="170" fontId="94" fillId="6" borderId="168" xfId="0" applyFont="1" applyFill="1" applyBorder="1" applyAlignment="1" applyProtection="1">
      <alignment horizontal="center" vertical="center"/>
    </xf>
    <xf numFmtId="170" fontId="106" fillId="0" borderId="168" xfId="0" applyFont="1" applyBorder="1" applyAlignment="1">
      <alignment horizontal="center" vertical="center"/>
    </xf>
    <xf numFmtId="170" fontId="2" fillId="0" borderId="141" xfId="0" applyNumberFormat="1" applyFont="1" applyFill="1" applyBorder="1" applyAlignment="1" applyProtection="1">
      <alignment horizontal="justify" vertical="center" wrapText="1"/>
    </xf>
    <xf numFmtId="170" fontId="2" fillId="0" borderId="142" xfId="0" applyNumberFormat="1" applyFont="1" applyFill="1" applyBorder="1" applyAlignment="1" applyProtection="1">
      <alignment horizontal="justify" vertical="center" wrapText="1"/>
    </xf>
    <xf numFmtId="170" fontId="2" fillId="0" borderId="6" xfId="0" applyNumberFormat="1" applyFont="1" applyFill="1" applyBorder="1" applyAlignment="1" applyProtection="1">
      <alignment horizontal="justify" vertical="center" wrapText="1"/>
    </xf>
    <xf numFmtId="170" fontId="2" fillId="0" borderId="173" xfId="0" applyNumberFormat="1" applyFont="1" applyFill="1" applyBorder="1" applyAlignment="1" applyProtection="1">
      <alignment horizontal="justify" vertical="center" wrapText="1"/>
    </xf>
    <xf numFmtId="170" fontId="94" fillId="6" borderId="169" xfId="0" applyFont="1" applyFill="1" applyBorder="1" applyAlignment="1" applyProtection="1">
      <alignment horizontal="center" vertical="center"/>
    </xf>
    <xf numFmtId="170" fontId="94" fillId="6" borderId="170" xfId="0" applyFont="1" applyFill="1" applyBorder="1" applyAlignment="1" applyProtection="1">
      <alignment horizontal="center" vertical="center"/>
    </xf>
    <xf numFmtId="170" fontId="94" fillId="6" borderId="171" xfId="0" applyFont="1" applyFill="1" applyBorder="1" applyAlignment="1" applyProtection="1">
      <alignment horizontal="center" vertical="center"/>
    </xf>
    <xf numFmtId="170" fontId="116" fillId="0" borderId="0" xfId="0" applyFont="1" applyFill="1" applyBorder="1" applyAlignment="1" applyProtection="1">
      <alignment horizontal="center"/>
    </xf>
    <xf numFmtId="170" fontId="2" fillId="0" borderId="145" xfId="0" applyNumberFormat="1" applyFont="1" applyFill="1" applyBorder="1" applyAlignment="1" applyProtection="1">
      <alignment horizontal="justify" vertical="center" wrapText="1"/>
    </xf>
    <xf numFmtId="170" fontId="2" fillId="0" borderId="146" xfId="0" applyNumberFormat="1" applyFont="1" applyFill="1" applyBorder="1" applyAlignment="1" applyProtection="1">
      <alignment horizontal="justify" vertical="center" wrapText="1"/>
    </xf>
    <xf numFmtId="170" fontId="53" fillId="2" borderId="4" xfId="0" applyFont="1" applyFill="1" applyBorder="1" applyAlignment="1" applyProtection="1">
      <alignment horizontal="center" vertical="center"/>
    </xf>
    <xf numFmtId="170" fontId="82" fillId="0" borderId="0" xfId="0" applyFont="1" applyBorder="1" applyAlignment="1" applyProtection="1">
      <alignment horizontal="center"/>
    </xf>
    <xf numFmtId="49" fontId="2" fillId="9" borderId="172"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73" xfId="0" applyNumberFormat="1" applyFont="1" applyFill="1" applyBorder="1" applyAlignment="1" applyProtection="1">
      <alignment horizontal="center" vertical="center"/>
      <protection locked="0"/>
    </xf>
    <xf numFmtId="170" fontId="2" fillId="6" borderId="156" xfId="0" applyFont="1" applyFill="1" applyBorder="1" applyAlignment="1" applyProtection="1">
      <alignment horizontal="center" vertical="center" wrapText="1"/>
      <protection locked="0"/>
    </xf>
    <xf numFmtId="170" fontId="2" fillId="6" borderId="157" xfId="0" applyFont="1" applyFill="1" applyBorder="1" applyAlignment="1" applyProtection="1">
      <alignment horizontal="center" vertical="center" wrapText="1"/>
      <protection locked="0"/>
    </xf>
    <xf numFmtId="170" fontId="2" fillId="6" borderId="158" xfId="0" applyFont="1" applyFill="1" applyBorder="1" applyAlignment="1" applyProtection="1">
      <alignment horizontal="center" vertical="center" wrapText="1"/>
      <protection locked="0"/>
    </xf>
    <xf numFmtId="170" fontId="2" fillId="0" borderId="174" xfId="0" applyNumberFormat="1" applyFont="1" applyFill="1" applyBorder="1" applyAlignment="1" applyProtection="1">
      <alignment horizontal="justify" vertical="center" wrapText="1"/>
    </xf>
    <xf numFmtId="170" fontId="2" fillId="0" borderId="175" xfId="0" applyNumberFormat="1" applyFont="1" applyFill="1" applyBorder="1" applyAlignment="1" applyProtection="1">
      <alignment horizontal="justify" vertical="center" wrapText="1"/>
    </xf>
    <xf numFmtId="170" fontId="2" fillId="0" borderId="166" xfId="0" applyNumberFormat="1" applyFont="1" applyFill="1" applyBorder="1" applyAlignment="1" applyProtection="1">
      <alignment horizontal="justify" vertical="center" wrapText="1"/>
    </xf>
    <xf numFmtId="170" fontId="41" fillId="5" borderId="178" xfId="0" applyFont="1" applyFill="1" applyBorder="1" applyAlignment="1" applyProtection="1">
      <alignment horizontal="center" vertical="center"/>
    </xf>
    <xf numFmtId="170" fontId="41" fillId="5" borderId="179" xfId="0" applyFont="1" applyFill="1" applyBorder="1" applyAlignment="1" applyProtection="1">
      <alignment horizontal="center" vertical="center"/>
    </xf>
    <xf numFmtId="170" fontId="41" fillId="5" borderId="180" xfId="0" applyFont="1" applyFill="1" applyBorder="1" applyAlignment="1" applyProtection="1">
      <alignment horizontal="center" vertical="center"/>
    </xf>
    <xf numFmtId="170" fontId="2" fillId="6" borderId="150" xfId="0" applyFont="1" applyFill="1" applyBorder="1" applyAlignment="1" applyProtection="1">
      <alignment horizontal="center" vertical="center" wrapText="1"/>
      <protection locked="0"/>
    </xf>
    <xf numFmtId="170" fontId="2" fillId="6" borderId="151" xfId="0" applyFont="1" applyFill="1" applyBorder="1" applyAlignment="1" applyProtection="1">
      <alignment horizontal="center" vertical="center" wrapText="1"/>
      <protection locked="0"/>
    </xf>
    <xf numFmtId="170" fontId="2" fillId="6" borderId="152" xfId="0" applyFont="1" applyFill="1" applyBorder="1" applyAlignment="1" applyProtection="1">
      <alignment horizontal="center" vertical="center" wrapText="1"/>
      <protection locked="0"/>
    </xf>
    <xf numFmtId="170" fontId="2" fillId="6" borderId="153" xfId="0" applyFont="1" applyFill="1" applyBorder="1" applyAlignment="1" applyProtection="1">
      <alignment horizontal="center" vertical="center" wrapText="1"/>
      <protection locked="0"/>
    </xf>
    <xf numFmtId="170" fontId="2" fillId="6" borderId="154" xfId="0" applyFont="1" applyFill="1" applyBorder="1" applyAlignment="1" applyProtection="1">
      <alignment horizontal="center" vertical="center" wrapText="1"/>
      <protection locked="0"/>
    </xf>
    <xf numFmtId="170" fontId="2" fillId="6" borderId="155" xfId="0" applyFont="1" applyFill="1" applyBorder="1" applyAlignment="1" applyProtection="1">
      <alignment horizontal="center" vertical="center" wrapText="1"/>
      <protection locked="0"/>
    </xf>
    <xf numFmtId="9" fontId="2" fillId="0" borderId="176" xfId="19" applyNumberFormat="1" applyFont="1" applyFill="1" applyBorder="1" applyAlignment="1" applyProtection="1">
      <alignment horizontal="justify" vertical="center" wrapText="1"/>
    </xf>
    <xf numFmtId="170" fontId="2" fillId="0" borderId="161" xfId="19" applyNumberFormat="1" applyFont="1" applyFill="1" applyBorder="1" applyAlignment="1" applyProtection="1">
      <alignment horizontal="justify" vertical="center" wrapText="1"/>
    </xf>
    <xf numFmtId="170" fontId="2" fillId="0" borderId="177" xfId="19" applyNumberFormat="1" applyFont="1" applyFill="1" applyBorder="1" applyAlignment="1" applyProtection="1">
      <alignment horizontal="justify" vertical="center" wrapText="1"/>
    </xf>
    <xf numFmtId="170" fontId="2" fillId="0" borderId="176" xfId="19" applyNumberFormat="1" applyFont="1" applyFill="1" applyBorder="1" applyAlignment="1" applyProtection="1">
      <alignment horizontal="justify" vertical="center" wrapText="1"/>
    </xf>
    <xf numFmtId="170" fontId="2" fillId="5" borderId="143" xfId="0" applyFont="1" applyFill="1" applyBorder="1" applyAlignment="1" applyProtection="1">
      <alignment horizontal="justify" vertical="top" wrapText="1"/>
      <protection locked="0"/>
    </xf>
    <xf numFmtId="170" fontId="106" fillId="0" borderId="80" xfId="0" applyFont="1" applyBorder="1" applyAlignment="1">
      <alignment horizontal="justify" vertical="top" wrapText="1"/>
    </xf>
    <xf numFmtId="170" fontId="106" fillId="0" borderId="144" xfId="0" applyFont="1" applyBorder="1" applyAlignment="1">
      <alignment horizontal="justify" vertical="top" wrapText="1"/>
    </xf>
    <xf numFmtId="170" fontId="2" fillId="5" borderId="216" xfId="0" applyFont="1" applyFill="1" applyBorder="1" applyAlignment="1" applyProtection="1">
      <alignment horizontal="justify" vertical="top" wrapText="1"/>
      <protection locked="0"/>
    </xf>
    <xf numFmtId="170" fontId="106" fillId="0" borderId="217" xfId="0" applyFont="1" applyBorder="1" applyAlignment="1">
      <alignment horizontal="justify" vertical="top" wrapText="1"/>
    </xf>
    <xf numFmtId="170" fontId="106" fillId="0" borderId="218" xfId="0" applyFont="1" applyBorder="1" applyAlignment="1">
      <alignment horizontal="justify" vertical="top" wrapText="1"/>
    </xf>
    <xf numFmtId="170" fontId="2" fillId="0" borderId="181" xfId="0" applyNumberFormat="1" applyFont="1" applyFill="1" applyBorder="1" applyAlignment="1" applyProtection="1">
      <alignment horizontal="justify" vertical="center" wrapText="1"/>
    </xf>
    <xf numFmtId="170" fontId="2" fillId="0" borderId="182" xfId="0" applyNumberFormat="1" applyFont="1" applyFill="1" applyBorder="1" applyAlignment="1" applyProtection="1">
      <alignment horizontal="justify" vertical="center" wrapText="1"/>
    </xf>
    <xf numFmtId="170" fontId="2" fillId="0" borderId="183" xfId="0" applyNumberFormat="1" applyFont="1" applyFill="1" applyBorder="1" applyAlignment="1" applyProtection="1">
      <alignment horizontal="justify" vertical="center" wrapText="1"/>
    </xf>
    <xf numFmtId="170" fontId="70" fillId="4" borderId="107" xfId="0" applyFont="1" applyFill="1" applyBorder="1" applyAlignment="1">
      <alignment horizontal="center" vertical="center" textRotation="90"/>
    </xf>
    <xf numFmtId="170" fontId="0" fillId="4" borderId="66" xfId="0" applyFill="1" applyBorder="1" applyAlignment="1">
      <alignment horizontal="center" vertical="center" textRotation="90"/>
    </xf>
    <xf numFmtId="170" fontId="0" fillId="4" borderId="76" xfId="0" applyFill="1" applyBorder="1" applyAlignment="1">
      <alignment horizontal="center" vertical="center" textRotation="90"/>
    </xf>
    <xf numFmtId="170" fontId="14" fillId="0" borderId="204" xfId="0" applyFont="1" applyFill="1" applyBorder="1" applyAlignment="1" applyProtection="1">
      <alignment horizontal="left"/>
      <protection locked="0"/>
    </xf>
    <xf numFmtId="170" fontId="14" fillId="0" borderId="161" xfId="0" applyFont="1" applyFill="1" applyBorder="1" applyAlignment="1" applyProtection="1">
      <alignment horizontal="left"/>
      <protection locked="0"/>
    </xf>
    <xf numFmtId="170" fontId="14" fillId="0" borderId="193" xfId="0" applyFont="1" applyFill="1" applyBorder="1" applyAlignment="1" applyProtection="1">
      <alignment horizontal="left"/>
      <protection locked="0"/>
    </xf>
    <xf numFmtId="170" fontId="14" fillId="0" borderId="205" xfId="0" applyFont="1" applyFill="1" applyBorder="1" applyAlignment="1" applyProtection="1">
      <alignment horizontal="left"/>
      <protection locked="0"/>
    </xf>
    <xf numFmtId="170" fontId="14" fillId="0" borderId="194" xfId="0" applyFont="1" applyFill="1" applyBorder="1" applyAlignment="1" applyProtection="1">
      <alignment horizontal="left"/>
      <protection locked="0"/>
    </xf>
    <xf numFmtId="170" fontId="14" fillId="0" borderId="195" xfId="0" applyFont="1" applyFill="1" applyBorder="1" applyAlignment="1" applyProtection="1">
      <alignment horizontal="left"/>
      <protection locked="0"/>
    </xf>
    <xf numFmtId="170" fontId="14" fillId="0" borderId="190" xfId="0" applyFont="1" applyBorder="1" applyAlignment="1" applyProtection="1">
      <alignment horizontal="left"/>
      <protection locked="0"/>
    </xf>
    <xf numFmtId="170" fontId="14" fillId="0" borderId="184" xfId="0" applyFont="1" applyBorder="1" applyAlignment="1" applyProtection="1">
      <alignment horizontal="left"/>
      <protection locked="0"/>
    </xf>
    <xf numFmtId="170" fontId="14" fillId="0" borderId="191" xfId="0" applyFont="1" applyBorder="1" applyAlignment="1" applyProtection="1">
      <alignment horizontal="left"/>
      <protection locked="0"/>
    </xf>
    <xf numFmtId="170" fontId="14" fillId="0" borderId="192" xfId="0" applyFont="1" applyBorder="1" applyAlignment="1" applyProtection="1">
      <alignment horizontal="left"/>
      <protection locked="0"/>
    </xf>
    <xf numFmtId="170" fontId="14" fillId="0" borderId="196" xfId="0" applyFont="1" applyFill="1" applyBorder="1" applyAlignment="1" applyProtection="1">
      <alignment horizontal="left" vertical="top" wrapText="1"/>
      <protection locked="0"/>
    </xf>
    <xf numFmtId="170" fontId="14" fillId="0" borderId="197" xfId="0" applyFont="1" applyFill="1" applyBorder="1" applyAlignment="1" applyProtection="1">
      <alignment horizontal="left" vertical="top" wrapText="1"/>
      <protection locked="0"/>
    </xf>
    <xf numFmtId="170" fontId="14" fillId="0" borderId="198" xfId="0" applyFont="1" applyFill="1" applyBorder="1" applyAlignment="1" applyProtection="1">
      <alignment horizontal="left" vertical="top" wrapText="1"/>
      <protection locked="0"/>
    </xf>
    <xf numFmtId="170" fontId="14" fillId="0" borderId="199" xfId="0" applyFont="1" applyFill="1" applyBorder="1" applyAlignment="1" applyProtection="1">
      <alignment horizontal="left" vertical="top" wrapText="1"/>
      <protection locked="0"/>
    </xf>
    <xf numFmtId="170" fontId="14" fillId="0" borderId="164" xfId="0" applyFont="1" applyFill="1" applyBorder="1" applyAlignment="1" applyProtection="1">
      <alignment horizontal="left" vertical="top" wrapText="1"/>
      <protection locked="0"/>
    </xf>
    <xf numFmtId="170" fontId="14" fillId="0" borderId="200" xfId="0" applyFont="1" applyFill="1" applyBorder="1" applyAlignment="1" applyProtection="1">
      <alignment horizontal="left" vertical="top" wrapText="1"/>
      <protection locked="0"/>
    </xf>
    <xf numFmtId="170" fontId="14" fillId="0" borderId="22" xfId="0" applyFont="1" applyBorder="1" applyAlignment="1" applyProtection="1">
      <alignment horizontal="left"/>
      <protection locked="0"/>
    </xf>
    <xf numFmtId="170" fontId="14" fillId="0" borderId="184" xfId="0" applyFont="1" applyFill="1" applyBorder="1" applyAlignment="1" applyProtection="1">
      <alignment horizontal="left"/>
      <protection locked="0"/>
    </xf>
    <xf numFmtId="170" fontId="14" fillId="0" borderId="185" xfId="0" applyFont="1" applyFill="1" applyBorder="1" applyAlignment="1" applyProtection="1">
      <alignment horizontal="left"/>
      <protection locked="0"/>
    </xf>
    <xf numFmtId="170" fontId="14" fillId="0" borderId="206" xfId="0" applyFont="1" applyFill="1" applyBorder="1" applyAlignment="1" applyProtection="1">
      <alignment horizontal="left" vertical="top" wrapText="1"/>
      <protection locked="0"/>
    </xf>
    <xf numFmtId="170" fontId="14" fillId="0" borderId="207" xfId="0" applyFont="1" applyFill="1" applyBorder="1" applyAlignment="1" applyProtection="1">
      <alignment horizontal="left" vertical="top" wrapText="1"/>
      <protection locked="0"/>
    </xf>
    <xf numFmtId="170" fontId="14" fillId="0" borderId="208" xfId="0" applyFont="1" applyFill="1" applyBorder="1" applyAlignment="1" applyProtection="1">
      <alignment horizontal="left" vertical="top" wrapText="1"/>
      <protection locked="0"/>
    </xf>
    <xf numFmtId="170" fontId="14" fillId="0" borderId="209" xfId="0" applyFont="1" applyFill="1" applyBorder="1" applyAlignment="1" applyProtection="1">
      <alignment horizontal="left" vertical="top" wrapText="1"/>
      <protection locked="0"/>
    </xf>
    <xf numFmtId="170" fontId="14" fillId="0" borderId="192" xfId="0" applyFont="1" applyFill="1" applyBorder="1" applyAlignment="1" applyProtection="1">
      <alignment horizontal="left"/>
      <protection locked="0"/>
    </xf>
    <xf numFmtId="170" fontId="14" fillId="0" borderId="202" xfId="0" applyFont="1" applyFill="1" applyBorder="1" applyAlignment="1" applyProtection="1">
      <alignment horizontal="left"/>
      <protection locked="0"/>
    </xf>
    <xf numFmtId="170" fontId="14" fillId="0" borderId="185" xfId="0" applyFont="1" applyBorder="1" applyAlignment="1" applyProtection="1">
      <alignment horizontal="left"/>
      <protection locked="0"/>
    </xf>
    <xf numFmtId="170" fontId="14" fillId="0" borderId="202" xfId="0" applyFont="1" applyBorder="1" applyAlignment="1" applyProtection="1">
      <alignment horizontal="left"/>
      <protection locked="0"/>
    </xf>
    <xf numFmtId="170" fontId="51" fillId="4" borderId="5" xfId="18" applyNumberFormat="1" applyFont="1" applyFill="1" applyBorder="1" applyAlignment="1">
      <alignment horizontal="center" vertical="center" wrapText="1"/>
    </xf>
    <xf numFmtId="170" fontId="51" fillId="4" borderId="213" xfId="18" applyNumberFormat="1" applyFont="1" applyFill="1" applyBorder="1" applyAlignment="1">
      <alignment horizontal="center" vertical="center" wrapText="1"/>
    </xf>
    <xf numFmtId="170" fontId="14" fillId="0" borderId="186" xfId="0" applyFont="1" applyBorder="1" applyAlignment="1" applyProtection="1">
      <alignment horizontal="left"/>
      <protection locked="0"/>
    </xf>
    <xf numFmtId="170" fontId="14" fillId="0" borderId="22" xfId="0" applyFont="1" applyFill="1" applyBorder="1" applyAlignment="1" applyProtection="1">
      <alignment horizontal="left"/>
      <protection locked="0"/>
    </xf>
    <xf numFmtId="170" fontId="14" fillId="0" borderId="210" xfId="0" applyFont="1" applyFill="1" applyBorder="1" applyAlignment="1" applyProtection="1">
      <alignment horizontal="justify" vertical="center" wrapText="1"/>
      <protection locked="0"/>
    </xf>
    <xf numFmtId="170" fontId="14" fillId="0" borderId="207" xfId="0" applyFont="1" applyFill="1" applyBorder="1" applyAlignment="1" applyProtection="1">
      <alignment horizontal="justify" vertical="center" wrapText="1"/>
      <protection locked="0"/>
    </xf>
    <xf numFmtId="170" fontId="14" fillId="0" borderId="211" xfId="0" applyFont="1" applyFill="1" applyBorder="1" applyAlignment="1" applyProtection="1">
      <alignment horizontal="justify" vertical="center" wrapText="1"/>
      <protection locked="0"/>
    </xf>
    <xf numFmtId="170" fontId="14" fillId="0" borderId="212" xfId="0" applyFont="1" applyFill="1" applyBorder="1" applyAlignment="1" applyProtection="1">
      <alignment horizontal="justify" vertical="center" wrapText="1"/>
      <protection locked="0"/>
    </xf>
    <xf numFmtId="170" fontId="14" fillId="0" borderId="164" xfId="0" applyFont="1" applyFill="1" applyBorder="1" applyAlignment="1" applyProtection="1">
      <alignment horizontal="justify" vertical="center" wrapText="1"/>
      <protection locked="0"/>
    </xf>
    <xf numFmtId="170" fontId="14" fillId="0" borderId="200" xfId="0" applyFont="1" applyFill="1" applyBorder="1" applyAlignment="1" applyProtection="1">
      <alignment horizontal="justify" vertical="center" wrapText="1"/>
      <protection locked="0"/>
    </xf>
    <xf numFmtId="170" fontId="14" fillId="0" borderId="161" xfId="0" applyFont="1" applyFill="1" applyBorder="1" applyAlignment="1" applyProtection="1">
      <alignment horizontal="left" vertical="center" wrapText="1"/>
      <protection locked="0"/>
    </xf>
    <xf numFmtId="170" fontId="14" fillId="0" borderId="193" xfId="0" applyFont="1" applyFill="1" applyBorder="1" applyAlignment="1" applyProtection="1">
      <alignment horizontal="left" vertical="center" wrapText="1"/>
      <protection locked="0"/>
    </xf>
    <xf numFmtId="170" fontId="14" fillId="0" borderId="190" xfId="0" applyFont="1" applyFill="1" applyBorder="1" applyAlignment="1" applyProtection="1">
      <alignment horizontal="left"/>
      <protection locked="0"/>
    </xf>
    <xf numFmtId="170" fontId="14" fillId="0" borderId="194" xfId="0" applyFont="1" applyFill="1" applyBorder="1" applyAlignment="1" applyProtection="1">
      <alignment horizontal="left" vertical="center" wrapText="1"/>
      <protection locked="0"/>
    </xf>
    <xf numFmtId="170" fontId="14" fillId="0" borderId="195" xfId="0" applyFont="1" applyFill="1" applyBorder="1" applyAlignment="1" applyProtection="1">
      <alignment horizontal="left" vertical="center" wrapText="1"/>
      <protection locked="0"/>
    </xf>
    <xf numFmtId="170" fontId="14" fillId="0" borderId="201" xfId="0" applyFont="1" applyFill="1" applyBorder="1" applyAlignment="1" applyProtection="1">
      <alignment horizontal="left"/>
      <protection locked="0"/>
    </xf>
    <xf numFmtId="170" fontId="14" fillId="0" borderId="214" xfId="0" applyFont="1" applyFill="1" applyBorder="1" applyAlignment="1" applyProtection="1">
      <alignment horizontal="justify" vertical="center" wrapText="1"/>
      <protection locked="0"/>
    </xf>
    <xf numFmtId="170" fontId="14" fillId="0" borderId="197" xfId="0" applyFont="1" applyFill="1" applyBorder="1" applyAlignment="1" applyProtection="1">
      <alignment horizontal="justify" vertical="center" wrapText="1"/>
      <protection locked="0"/>
    </xf>
    <xf numFmtId="170" fontId="14" fillId="0" borderId="198" xfId="0" applyFont="1" applyFill="1" applyBorder="1" applyAlignment="1" applyProtection="1">
      <alignment horizontal="justify" vertical="center" wrapText="1"/>
      <protection locked="0"/>
    </xf>
    <xf numFmtId="164" fontId="42" fillId="14" borderId="0" xfId="13" applyFont="1" applyFill="1" applyAlignment="1">
      <alignment horizontal="center" vertical="center"/>
    </xf>
    <xf numFmtId="164" fontId="8" fillId="13" borderId="0" xfId="22" applyFont="1" applyFill="1" applyBorder="1" applyAlignment="1" applyProtection="1">
      <alignment horizontal="center"/>
      <protection locked="0"/>
    </xf>
    <xf numFmtId="170" fontId="14" fillId="0" borderId="186" xfId="0" applyFont="1" applyFill="1" applyBorder="1" applyAlignment="1" applyProtection="1">
      <alignment horizontal="left"/>
      <protection locked="0"/>
    </xf>
    <xf numFmtId="164" fontId="7" fillId="0" borderId="0" xfId="0" applyNumberFormat="1" applyFont="1" applyAlignment="1">
      <alignment horizontal="center"/>
    </xf>
    <xf numFmtId="164" fontId="21" fillId="0" borderId="0" xfId="0" applyNumberFormat="1" applyFont="1" applyAlignment="1">
      <alignment horizontal="right"/>
    </xf>
    <xf numFmtId="15" fontId="21" fillId="0" borderId="0" xfId="0" applyNumberFormat="1" applyFont="1" applyAlignment="1">
      <alignment horizontal="right"/>
    </xf>
    <xf numFmtId="170" fontId="82" fillId="0" borderId="0" xfId="0" applyFont="1" applyAlignment="1">
      <alignment horizontal="center"/>
    </xf>
    <xf numFmtId="164" fontId="21" fillId="0" borderId="0" xfId="0" applyNumberFormat="1" applyFont="1" applyAlignment="1">
      <alignment horizontal="left"/>
    </xf>
    <xf numFmtId="170" fontId="51" fillId="4" borderId="187" xfId="18" applyNumberFormat="1" applyFont="1" applyFill="1" applyBorder="1" applyAlignment="1">
      <alignment horizontal="center" vertical="center" wrapText="1"/>
    </xf>
    <xf numFmtId="170" fontId="51" fillId="4" borderId="188" xfId="18" applyNumberFormat="1" applyFont="1" applyFill="1" applyBorder="1" applyAlignment="1">
      <alignment horizontal="center" vertical="center" wrapText="1"/>
    </xf>
    <xf numFmtId="170" fontId="51" fillId="4" borderId="189" xfId="18" applyNumberFormat="1" applyFont="1" applyFill="1" applyBorder="1" applyAlignment="1">
      <alignment horizontal="center" vertical="center" wrapText="1"/>
    </xf>
    <xf numFmtId="170" fontId="14" fillId="0" borderId="201" xfId="0" applyFont="1" applyBorder="1" applyAlignment="1" applyProtection="1">
      <alignment horizontal="left"/>
      <protection locked="0"/>
    </xf>
    <xf numFmtId="170" fontId="106" fillId="5" borderId="109" xfId="0" applyFont="1" applyFill="1" applyBorder="1" applyAlignment="1" applyProtection="1">
      <alignment horizontal="justify" vertical="top" wrapText="1"/>
      <protection locked="0"/>
    </xf>
    <xf numFmtId="170" fontId="106" fillId="5" borderId="108" xfId="0" applyFont="1" applyFill="1" applyBorder="1" applyAlignment="1" applyProtection="1">
      <alignment horizontal="justify" vertical="top" wrapText="1"/>
      <protection locked="0"/>
    </xf>
    <xf numFmtId="170" fontId="106" fillId="5" borderId="110" xfId="0" applyFont="1" applyFill="1" applyBorder="1" applyAlignment="1" applyProtection="1">
      <alignment horizontal="justify" vertical="top" wrapText="1"/>
      <protection locked="0"/>
    </xf>
    <xf numFmtId="170" fontId="106" fillId="5" borderId="111" xfId="0" applyFont="1" applyFill="1" applyBorder="1" applyAlignment="1" applyProtection="1">
      <alignment horizontal="justify" vertical="top" wrapText="1"/>
      <protection locked="0"/>
    </xf>
    <xf numFmtId="170" fontId="106" fillId="5" borderId="73" xfId="0" applyFont="1" applyFill="1" applyBorder="1" applyAlignment="1" applyProtection="1">
      <alignment horizontal="justify" vertical="top" wrapText="1"/>
      <protection locked="0"/>
    </xf>
    <xf numFmtId="170" fontId="106" fillId="5" borderId="75" xfId="0" applyFont="1" applyFill="1" applyBorder="1" applyAlignment="1" applyProtection="1">
      <alignment horizontal="justify" vertical="top" wrapText="1"/>
      <protection locked="0"/>
    </xf>
    <xf numFmtId="170" fontId="51" fillId="4" borderId="203" xfId="18" applyNumberFormat="1" applyFont="1" applyFill="1" applyBorder="1" applyAlignment="1">
      <alignment horizontal="center" vertical="center" wrapText="1"/>
    </xf>
    <xf numFmtId="170" fontId="14" fillId="0" borderId="191" xfId="0" applyFont="1" applyFill="1" applyBorder="1" applyAlignment="1" applyProtection="1">
      <alignment horizontal="left"/>
      <protection locked="0"/>
    </xf>
    <xf numFmtId="170" fontId="26" fillId="0" borderId="0" xfId="0" applyFont="1" applyAlignment="1">
      <alignment horizontal="center"/>
    </xf>
    <xf numFmtId="164" fontId="10" fillId="14" borderId="0" xfId="4" applyFont="1" applyFill="1" applyAlignment="1">
      <alignment horizontal="center" vertical="center"/>
    </xf>
  </cellXfs>
  <cellStyles count="24">
    <cellStyle name="Comma" xfId="1" builtinId="3"/>
    <cellStyle name="Euro" xfId="2" xr:uid="{00000000-0005-0000-0000-000001000000}"/>
    <cellStyle name="Millares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2 4" xfId="7" xr:uid="{00000000-0005-0000-0000-000007000000}"/>
    <cellStyle name="Normal 2 5" xfId="8" xr:uid="{00000000-0005-0000-0000-000008000000}"/>
    <cellStyle name="Normal 2 6" xfId="9" xr:uid="{00000000-0005-0000-0000-000009000000}"/>
    <cellStyle name="Normal 2 7" xfId="10" xr:uid="{00000000-0005-0000-0000-00000A000000}"/>
    <cellStyle name="Normal 2 8" xfId="11" xr:uid="{00000000-0005-0000-0000-00000B000000}"/>
    <cellStyle name="Normal 2_Dashboard ver 2.2 ES" xfId="12" xr:uid="{00000000-0005-0000-0000-00000C000000}"/>
    <cellStyle name="Normal 2_Prototipo" xfId="13" xr:uid="{00000000-0005-0000-0000-00000D000000}"/>
    <cellStyle name="Normal 3" xfId="14" xr:uid="{00000000-0005-0000-0000-00000E000000}"/>
    <cellStyle name="Normal 4" xfId="15" xr:uid="{00000000-0005-0000-0000-00000F000000}"/>
    <cellStyle name="Normal 5" xfId="16" xr:uid="{00000000-0005-0000-0000-000010000000}"/>
    <cellStyle name="Normal 6" xfId="17" xr:uid="{00000000-0005-0000-0000-000011000000}"/>
    <cellStyle name="Normal_TZ_R3HIV_Phase_2_21_August_08" xfId="18" xr:uid="{00000000-0005-0000-0000-000012000000}"/>
    <cellStyle name="Percent" xfId="19" builtinId="5"/>
    <cellStyle name="Título 3 3" xfId="20" xr:uid="{00000000-0005-0000-0000-000014000000}"/>
    <cellStyle name="Título 3 3_Prototipo" xfId="21" xr:uid="{00000000-0005-0000-0000-000015000000}"/>
    <cellStyle name="Título 3 3_PrototipoRep1" xfId="22" xr:uid="{00000000-0005-0000-0000-000016000000}"/>
    <cellStyle name="Título 3 7" xfId="23" xr:uid="{00000000-0005-0000-0000-000017000000}"/>
  </cellStyles>
  <dxfs count="58">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style="thin">
          <color indexed="64"/>
        </bottom>
      </border>
    </dxf>
    <dxf>
      <numFmt numFmtId="2" formatCode="0.0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rgb="FFFF0000"/>
        </patternFill>
      </fill>
    </dxf>
    <dxf>
      <fill>
        <patternFill>
          <bgColor indexed="42"/>
        </patternFill>
      </fill>
    </dxf>
    <dxf>
      <fill>
        <patternFill>
          <bgColor indexed="42"/>
        </patternFill>
      </fill>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datelor'!$D$81</c:f>
              <c:strCache>
                <c:ptCount val="1"/>
                <c:pt idx="0">
                  <c:v>14</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datelor'!$D$81:$D$82</c:f>
              <c:numCache>
                <c:formatCode>[$$-409]#,##0_);\([$$-409]#,##0\)</c:formatCode>
                <c:ptCount val="2"/>
                <c:pt idx="0" formatCode="#,##0">
                  <c:v>14</c:v>
                </c:pt>
              </c:numCache>
            </c:numRef>
          </c:val>
          <c:extLst>
            <c:ext xmlns:c16="http://schemas.microsoft.com/office/drawing/2014/chart" uri="{C3380CC4-5D6E-409C-BE32-E72D297353CC}">
              <c16:uniqueId val="{00000000-2C7A-43FD-B9FB-77E18F2F63C8}"/>
            </c:ext>
          </c:extLst>
        </c:ser>
        <c:dLbls>
          <c:showLegendKey val="0"/>
          <c:showVal val="0"/>
          <c:showCatName val="0"/>
          <c:showSerName val="0"/>
          <c:showPercent val="0"/>
          <c:showBubbleSize val="0"/>
        </c:dLbls>
        <c:gapWidth val="79"/>
        <c:overlap val="100"/>
        <c:axId val="172853072"/>
        <c:axId val="172853856"/>
      </c:barChart>
      <c:catAx>
        <c:axId val="172853072"/>
        <c:scaling>
          <c:orientation val="minMax"/>
        </c:scaling>
        <c:delete val="1"/>
        <c:axPos val="l"/>
        <c:numFmt formatCode="General" sourceLinked="1"/>
        <c:majorTickMark val="out"/>
        <c:minorTickMark val="none"/>
        <c:tickLblPos val="none"/>
        <c:crossAx val="172853856"/>
        <c:crosses val="autoZero"/>
        <c:auto val="1"/>
        <c:lblAlgn val="ctr"/>
        <c:lblOffset val="100"/>
        <c:noMultiLvlLbl val="0"/>
      </c:catAx>
      <c:valAx>
        <c:axId val="172853856"/>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172853072"/>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datelor'!$C$86</c:f>
              <c:numCache>
                <c:formatCode>#,##0</c:formatCode>
                <c:ptCount val="1"/>
                <c:pt idx="0">
                  <c:v>2</c:v>
                </c:pt>
              </c:numCache>
            </c:numRef>
          </c:val>
          <c:extLst>
            <c:ext xmlns:c16="http://schemas.microsoft.com/office/drawing/2014/chart" uri="{C3380CC4-5D6E-409C-BE32-E72D297353CC}">
              <c16:uniqueId val="{00000000-32D2-41E1-8750-812F849F4568}"/>
            </c:ext>
          </c:extLst>
        </c:ser>
        <c:dLbls>
          <c:showLegendKey val="0"/>
          <c:showVal val="0"/>
          <c:showCatName val="0"/>
          <c:showSerName val="0"/>
          <c:showPercent val="0"/>
          <c:showBubbleSize val="0"/>
        </c:dLbls>
        <c:gapWidth val="150"/>
        <c:overlap val="-20"/>
        <c:axId val="217701920"/>
        <c:axId val="217702312"/>
      </c:barChart>
      <c:catAx>
        <c:axId val="217701920"/>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217702312"/>
        <c:crosses val="autoZero"/>
        <c:auto val="0"/>
        <c:lblAlgn val="ctr"/>
        <c:lblOffset val="100"/>
        <c:tickMarkSkip val="1"/>
        <c:noMultiLvlLbl val="0"/>
      </c:catAx>
      <c:valAx>
        <c:axId val="217702312"/>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17701920"/>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datelor'!$D$73</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datelor'!$B$74:$B$75</c:f>
              <c:strCache>
                <c:ptCount val="2"/>
                <c:pt idx="0">
                  <c:v>Condiții Precedente (CP)</c:v>
                </c:pt>
                <c:pt idx="1">
                  <c:v>Acțiuni Prestabilite în Timp (TBA)</c:v>
                </c:pt>
              </c:strCache>
            </c:strRef>
          </c:cat>
          <c:val>
            <c:numRef>
              <c:f>'Introducerea datelor'!$D$74:$D$75</c:f>
              <c:numCache>
                <c:formatCode>0</c:formatCode>
                <c:ptCount val="2"/>
              </c:numCache>
            </c:numRef>
          </c:val>
          <c:extLst>
            <c:ext xmlns:c16="http://schemas.microsoft.com/office/drawing/2014/chart" uri="{C3380CC4-5D6E-409C-BE32-E72D297353CC}">
              <c16:uniqueId val="{00000000-D08E-42FA-87E5-9BAD02454A53}"/>
            </c:ext>
          </c:extLst>
        </c:ser>
        <c:ser>
          <c:idx val="1"/>
          <c:order val="1"/>
          <c:tx>
            <c:strRef>
              <c:f>'Introducerea datelor'!$E$73</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datelor'!$B$74:$B$75</c:f>
              <c:strCache>
                <c:ptCount val="2"/>
                <c:pt idx="0">
                  <c:v>Condiții Precedente (CP)</c:v>
                </c:pt>
                <c:pt idx="1">
                  <c:v>Acțiuni Prestabilite în Timp (TBA)</c:v>
                </c:pt>
              </c:strCache>
            </c:strRef>
          </c:cat>
          <c:val>
            <c:numRef>
              <c:f>'Introducerea datelor'!$E$74:$E$75</c:f>
              <c:numCache>
                <c:formatCode>0</c:formatCode>
                <c:ptCount val="2"/>
                <c:pt idx="0">
                  <c:v>2</c:v>
                </c:pt>
              </c:numCache>
            </c:numRef>
          </c:val>
          <c:extLst>
            <c:ext xmlns:c16="http://schemas.microsoft.com/office/drawing/2014/chart" uri="{C3380CC4-5D6E-409C-BE32-E72D297353CC}">
              <c16:uniqueId val="{00000001-D08E-42FA-87E5-9BAD02454A53}"/>
            </c:ext>
          </c:extLst>
        </c:ser>
        <c:ser>
          <c:idx val="2"/>
          <c:order val="2"/>
          <c:tx>
            <c:strRef>
              <c:f>'Introducerea datelor'!$F$73</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datelor'!$B$74:$B$75</c:f>
              <c:strCache>
                <c:ptCount val="2"/>
                <c:pt idx="0">
                  <c:v>Condiții Precedente (CP)</c:v>
                </c:pt>
                <c:pt idx="1">
                  <c:v>Acțiuni Prestabilite în Timp (TBA)</c:v>
                </c:pt>
              </c:strCache>
            </c:strRef>
          </c:cat>
          <c:val>
            <c:numRef>
              <c:f>'Introducerea datelor'!$F$74:$F$75</c:f>
              <c:numCache>
                <c:formatCode>0</c:formatCode>
                <c:ptCount val="2"/>
              </c:numCache>
            </c:numRef>
          </c:val>
          <c:extLst>
            <c:ext xmlns:c16="http://schemas.microsoft.com/office/drawing/2014/chart" uri="{C3380CC4-5D6E-409C-BE32-E72D297353CC}">
              <c16:uniqueId val="{00000002-D08E-42FA-87E5-9BAD02454A53}"/>
            </c:ext>
          </c:extLst>
        </c:ser>
        <c:dLbls>
          <c:showLegendKey val="0"/>
          <c:showVal val="0"/>
          <c:showCatName val="0"/>
          <c:showSerName val="0"/>
          <c:showPercent val="0"/>
          <c:showBubbleSize val="0"/>
        </c:dLbls>
        <c:gapWidth val="70"/>
        <c:overlap val="100"/>
        <c:axId val="217703096"/>
        <c:axId val="217703488"/>
      </c:barChart>
      <c:catAx>
        <c:axId val="2177030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7703488"/>
        <c:crosses val="autoZero"/>
        <c:auto val="1"/>
        <c:lblAlgn val="ctr"/>
        <c:lblOffset val="100"/>
        <c:tickLblSkip val="1"/>
        <c:tickMarkSkip val="1"/>
        <c:noMultiLvlLbl val="0"/>
      </c:catAx>
      <c:valAx>
        <c:axId val="21770348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7703096"/>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datelor'!$D$90</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datelor'!$B$91:$B$92</c:f>
              <c:strCache>
                <c:ptCount val="2"/>
                <c:pt idx="0">
                  <c:v>SSR către SR</c:v>
                </c:pt>
                <c:pt idx="1">
                  <c:v>SR către RP</c:v>
                </c:pt>
              </c:strCache>
            </c:strRef>
          </c:cat>
          <c:val>
            <c:numRef>
              <c:f>'Introducerea datelor'!$D$91:$D$92</c:f>
              <c:numCache>
                <c:formatCode>0</c:formatCode>
                <c:ptCount val="2"/>
                <c:pt idx="0">
                  <c:v>8</c:v>
                </c:pt>
                <c:pt idx="1">
                  <c:v>4</c:v>
                </c:pt>
              </c:numCache>
            </c:numRef>
          </c:val>
          <c:extLst>
            <c:ext xmlns:c16="http://schemas.microsoft.com/office/drawing/2014/chart" uri="{C3380CC4-5D6E-409C-BE32-E72D297353CC}">
              <c16:uniqueId val="{00000000-0579-471F-8EB0-B16F21AC51C8}"/>
            </c:ext>
          </c:extLst>
        </c:ser>
        <c:ser>
          <c:idx val="2"/>
          <c:order val="1"/>
          <c:tx>
            <c:strRef>
              <c:f>'Introducerea datelor'!$E$90</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datelor'!$B$91:$B$92</c:f>
              <c:strCache>
                <c:ptCount val="2"/>
                <c:pt idx="0">
                  <c:v>SSR către SR</c:v>
                </c:pt>
                <c:pt idx="1">
                  <c:v>SR către RP</c:v>
                </c:pt>
              </c:strCache>
            </c:strRef>
          </c:cat>
          <c:val>
            <c:numRef>
              <c:f>'Introducerea datelor'!$E$91:$E$92</c:f>
              <c:numCache>
                <c:formatCode>#,##0</c:formatCode>
                <c:ptCount val="2"/>
                <c:pt idx="0" formatCode="0">
                  <c:v>0</c:v>
                </c:pt>
                <c:pt idx="1">
                  <c:v>0</c:v>
                </c:pt>
              </c:numCache>
            </c:numRef>
          </c:val>
          <c:extLst>
            <c:ext xmlns:c16="http://schemas.microsoft.com/office/drawing/2014/chart" uri="{C3380CC4-5D6E-409C-BE32-E72D297353CC}">
              <c16:uniqueId val="{00000001-0579-471F-8EB0-B16F21AC51C8}"/>
            </c:ext>
          </c:extLst>
        </c:ser>
        <c:dLbls>
          <c:showLegendKey val="0"/>
          <c:showVal val="0"/>
          <c:showCatName val="0"/>
          <c:showSerName val="0"/>
          <c:showPercent val="0"/>
          <c:showBubbleSize val="0"/>
        </c:dLbls>
        <c:gapWidth val="101"/>
        <c:overlap val="100"/>
        <c:axId val="217704272"/>
        <c:axId val="217704664"/>
      </c:barChart>
      <c:catAx>
        <c:axId val="2177042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17704664"/>
        <c:crosses val="autoZero"/>
        <c:auto val="1"/>
        <c:lblAlgn val="ctr"/>
        <c:lblOffset val="100"/>
        <c:noMultiLvlLbl val="0"/>
      </c:catAx>
      <c:valAx>
        <c:axId val="21770466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17704272"/>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94068730875009"/>
          <c:y val="0.10989010989011004"/>
          <c:w val="0.7977232881383729"/>
          <c:h val="0.4182988352683446"/>
        </c:manualLayout>
      </c:layout>
      <c:barChart>
        <c:barDir val="col"/>
        <c:grouping val="clustered"/>
        <c:varyColors val="0"/>
        <c:ser>
          <c:idx val="0"/>
          <c:order val="0"/>
          <c:tx>
            <c:strRef>
              <c:f>'Introducerea datelor'!$B$100</c:f>
              <c:strCache>
                <c:ptCount val="1"/>
                <c:pt idx="0">
                  <c:v>Buget Aprobat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datelor'!$C$96:$N$96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datelor'!$C$100:$N$100</c:f>
              <c:numCache>
                <c:formatCode>#,##0</c:formatCode>
                <c:ptCount val="12"/>
                <c:pt idx="0">
                  <c:v>1160869.74</c:v>
                </c:pt>
                <c:pt idx="1">
                  <c:v>2313408.48</c:v>
                </c:pt>
                <c:pt idx="2">
                  <c:v>3657172.2700000005</c:v>
                </c:pt>
              </c:numCache>
            </c:numRef>
          </c:val>
          <c:extLst>
            <c:ext xmlns:c16="http://schemas.microsoft.com/office/drawing/2014/chart" uri="{C3380CC4-5D6E-409C-BE32-E72D297353CC}">
              <c16:uniqueId val="{00000000-C2BB-4102-AC1C-6C02FD33FD2D}"/>
            </c:ext>
          </c:extLst>
        </c:ser>
        <c:ser>
          <c:idx val="1"/>
          <c:order val="1"/>
          <c:tx>
            <c:strRef>
              <c:f>'Introducerea datelor'!$B$101</c:f>
              <c:strCache>
                <c:ptCount val="1"/>
                <c:pt idx="0">
                  <c:v>Obligațiuni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datelor'!$C$96:$N$96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datelor'!$C$101:$N$101</c:f>
              <c:numCache>
                <c:formatCode>#,##0</c:formatCode>
                <c:ptCount val="12"/>
                <c:pt idx="0">
                  <c:v>1079919</c:v>
                </c:pt>
                <c:pt idx="1">
                  <c:v>2969001.8600000003</c:v>
                </c:pt>
                <c:pt idx="2">
                  <c:v>3790896.5700000003</c:v>
                </c:pt>
              </c:numCache>
            </c:numRef>
          </c:val>
          <c:extLst>
            <c:ext xmlns:c16="http://schemas.microsoft.com/office/drawing/2014/chart" uri="{C3380CC4-5D6E-409C-BE32-E72D297353CC}">
              <c16:uniqueId val="{00000001-C2BB-4102-AC1C-6C02FD33FD2D}"/>
            </c:ext>
          </c:extLst>
        </c:ser>
        <c:ser>
          <c:idx val="2"/>
          <c:order val="2"/>
          <c:tx>
            <c:strRef>
              <c:f>'Introducerea datelor'!$B$102</c:f>
              <c:strCache>
                <c:ptCount val="1"/>
                <c:pt idx="0">
                  <c:v>Cheltuieli cumulative</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datelor'!$C$96:$N$96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datelor'!$C$102:$N$102</c:f>
              <c:numCache>
                <c:formatCode>#,##0</c:formatCode>
                <c:ptCount val="12"/>
                <c:pt idx="0">
                  <c:v>708982.7</c:v>
                </c:pt>
                <c:pt idx="1">
                  <c:v>2119800.5499999998</c:v>
                </c:pt>
                <c:pt idx="2">
                  <c:v>3136196.55</c:v>
                </c:pt>
              </c:numCache>
            </c:numRef>
          </c:val>
          <c:extLst>
            <c:ext xmlns:c16="http://schemas.microsoft.com/office/drawing/2014/chart" uri="{C3380CC4-5D6E-409C-BE32-E72D297353CC}">
              <c16:uniqueId val="{00000002-C2BB-4102-AC1C-6C02FD33FD2D}"/>
            </c:ext>
          </c:extLst>
        </c:ser>
        <c:dLbls>
          <c:showLegendKey val="0"/>
          <c:showVal val="0"/>
          <c:showCatName val="0"/>
          <c:showSerName val="0"/>
          <c:showPercent val="0"/>
          <c:showBubbleSize val="0"/>
        </c:dLbls>
        <c:gapWidth val="100"/>
        <c:overlap val="-24"/>
        <c:axId val="218258840"/>
        <c:axId val="218259232"/>
      </c:barChart>
      <c:catAx>
        <c:axId val="218258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59232"/>
        <c:crosses val="autoZero"/>
        <c:auto val="1"/>
        <c:lblAlgn val="ctr"/>
        <c:lblOffset val="100"/>
        <c:noMultiLvlLbl val="0"/>
      </c:catAx>
      <c:valAx>
        <c:axId val="218259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58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datelor'!$B$33</c:f>
              <c:strCache>
                <c:ptCount val="1"/>
                <c:pt idx="0">
                  <c:v>Buget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datelor'!$C$33:$N$33</c:f>
              <c:numCache>
                <c:formatCode>#,##0</c:formatCode>
                <c:ptCount val="12"/>
                <c:pt idx="0">
                  <c:v>2030552.71</c:v>
                </c:pt>
                <c:pt idx="1">
                  <c:v>4014018.55</c:v>
                </c:pt>
                <c:pt idx="2">
                  <c:v>6326838.0599999996</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E33-4D7D-98B5-0C828C153590}"/>
            </c:ext>
          </c:extLst>
        </c:ser>
        <c:ser>
          <c:idx val="1"/>
          <c:order val="1"/>
          <c:tx>
            <c:strRef>
              <c:f>'Introducerea datelor'!$B$34</c:f>
              <c:strCache>
                <c:ptCount val="1"/>
                <c:pt idx="0">
                  <c:v>Debursări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datelor'!$C$34:$N$34</c:f>
              <c:numCache>
                <c:formatCode>#,##0</c:formatCode>
                <c:ptCount val="12"/>
                <c:pt idx="0">
                  <c:v>2829411.8</c:v>
                </c:pt>
                <c:pt idx="1">
                  <c:v>4013553.53</c:v>
                </c:pt>
                <c:pt idx="2">
                  <c:v>6370715.4100000001</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E33-4D7D-98B5-0C828C153590}"/>
            </c:ext>
          </c:extLst>
        </c:ser>
        <c:dLbls>
          <c:showLegendKey val="0"/>
          <c:showVal val="0"/>
          <c:showCatName val="0"/>
          <c:showSerName val="0"/>
          <c:showPercent val="0"/>
          <c:showBubbleSize val="0"/>
        </c:dLbls>
        <c:gapWidth val="100"/>
        <c:overlap val="-24"/>
        <c:axId val="218260408"/>
        <c:axId val="218260800"/>
      </c:barChart>
      <c:catAx>
        <c:axId val="2182604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60800"/>
        <c:crosses val="autoZero"/>
        <c:auto val="1"/>
        <c:lblAlgn val="ctr"/>
        <c:lblOffset val="100"/>
        <c:tickMarkSkip val="1"/>
        <c:noMultiLvlLbl val="0"/>
      </c:catAx>
      <c:valAx>
        <c:axId val="21826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60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548273983362867"/>
          <c:y val="7.5694006617564286E-2"/>
          <c:w val="0.74366824572258583"/>
          <c:h val="0.58032078788797015"/>
        </c:manualLayout>
      </c:layout>
      <c:barChart>
        <c:barDir val="col"/>
        <c:grouping val="stacked"/>
        <c:varyColors val="0"/>
        <c:ser>
          <c:idx val="0"/>
          <c:order val="0"/>
          <c:tx>
            <c:strRef>
              <c:f>'Introducerea datelor'!$C$53</c:f>
              <c:strCache>
                <c:ptCount val="1"/>
                <c:pt idx="0">
                  <c:v>Către perioada de raportare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datelor'!$B$53:$B$57</c15:sqref>
                  </c15:fullRef>
                </c:ext>
              </c:extLst>
              <c:f>'Introducerea datelor'!$B$54:$B$57</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datelor'!$C$53:$C$57</c15:sqref>
                  </c15:fullRef>
                </c:ext>
              </c:extLst>
              <c:f>'Introducerea datelor'!$C$54:$C$57</c:f>
              <c:numCache>
                <c:formatCode>#,##0</c:formatCode>
                <c:ptCount val="4"/>
                <c:pt idx="0">
                  <c:v>4014018.53</c:v>
                </c:pt>
                <c:pt idx="1" formatCode="#,##0.00">
                  <c:v>3872711.41</c:v>
                </c:pt>
                <c:pt idx="2">
                  <c:v>484111.91</c:v>
                </c:pt>
                <c:pt idx="3">
                  <c:v>461590.81</c:v>
                </c:pt>
              </c:numCache>
            </c:numRef>
          </c:val>
          <c:extLst>
            <c:ext xmlns:c16="http://schemas.microsoft.com/office/drawing/2014/chart" uri="{C3380CC4-5D6E-409C-BE32-E72D297353CC}">
              <c16:uniqueId val="{00000000-C369-4708-87A9-A84FC531C4BE}"/>
            </c:ext>
          </c:extLst>
        </c:ser>
        <c:ser>
          <c:idx val="1"/>
          <c:order val="1"/>
          <c:tx>
            <c:strRef>
              <c:f>'Introducerea datelor'!$D$53</c:f>
              <c:strCache>
                <c:ptCount val="1"/>
                <c:pt idx="0">
                  <c:v>Perioada de raportare curentă</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datelor'!$B$53:$B$57</c15:sqref>
                  </c15:fullRef>
                </c:ext>
              </c:extLst>
              <c:f>'Introducerea datelor'!$B$54:$B$57</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datelor'!$D$53:$D$57</c15:sqref>
                  </c15:fullRef>
                </c:ext>
              </c:extLst>
              <c:f>'Introducerea datelor'!$D$54:$D$57</c:f>
              <c:numCache>
                <c:formatCode>#,##0</c:formatCode>
                <c:ptCount val="4"/>
                <c:pt idx="0">
                  <c:v>2357161.88</c:v>
                </c:pt>
                <c:pt idx="1" formatCode="#,##0.00">
                  <c:v>1842802.6</c:v>
                </c:pt>
                <c:pt idx="2">
                  <c:v>146173.06</c:v>
                </c:pt>
                <c:pt idx="3">
                  <c:v>110598.64</c:v>
                </c:pt>
              </c:numCache>
            </c:numRef>
          </c:val>
          <c:extLst>
            <c:ext xmlns:c16="http://schemas.microsoft.com/office/drawing/2014/chart" uri="{C3380CC4-5D6E-409C-BE32-E72D297353CC}">
              <c16:uniqueId val="{00000001-C369-4708-87A9-A84FC531C4BE}"/>
            </c:ext>
          </c:extLst>
        </c:ser>
        <c:dLbls>
          <c:showLegendKey val="0"/>
          <c:showVal val="0"/>
          <c:showCatName val="0"/>
          <c:showSerName val="0"/>
          <c:showPercent val="0"/>
          <c:showBubbleSize val="0"/>
        </c:dLbls>
        <c:gapWidth val="100"/>
        <c:overlap val="-24"/>
        <c:axId val="218258448"/>
        <c:axId val="218258056"/>
      </c:barChart>
      <c:catAx>
        <c:axId val="2182584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58056"/>
        <c:crossesAt val="0"/>
        <c:auto val="1"/>
        <c:lblAlgn val="ctr"/>
        <c:lblOffset val="100"/>
        <c:noMultiLvlLbl val="0"/>
      </c:catAx>
      <c:valAx>
        <c:axId val="21825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584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datelor'!$C$38</c:f>
              <c:strCache>
                <c:ptCount val="1"/>
                <c:pt idx="0">
                  <c:v>Bugetul Cumulativ (în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datelor'!$B$38:$B$45</c15:sqref>
                  </c15:fullRef>
                </c:ext>
              </c:extLst>
              <c:f>'Introducerea datelor'!$B$39:$B$45</c:f>
              <c:strCache>
                <c:ptCount val="7"/>
                <c:pt idx="0">
                  <c:v>Asigurarea accesului universal la diagnosticul la timp şi de calitate al tuturor formelor de tuberculoză, inclusiv celor cu TB-M/EDR</c:v>
                </c:pt>
                <c:pt idx="1">
                  <c:v>Asigurarea accesului universal la tratamentul calitativ pentru toate formele de TB, inclusiv cu TB-M/EDR</c:v>
                </c:pt>
                <c:pt idx="2">
                  <c:v>Consolidarea managementului, coordonării, monitorizării și evaluării Programului Național de control al tuberculozei</c:v>
                </c:pt>
                <c:pt idx="3">
                  <c:v>Sporirea accesului la servicii de prevenire a infecției HIV, pe bază de dovezi</c:v>
                </c:pt>
                <c:pt idx="4">
                  <c:v>Asigurarea accesului universal la servicii de tratament, îngrijire și suport comprehensiv al infecției HIV</c:v>
                </c:pt>
                <c:pt idx="5">
                  <c:v>Consolidarea capacităţii comunităților si asigurarea durabilităţii programului </c:v>
                </c:pt>
                <c:pt idx="6">
                  <c:v>Fortificarea managementului Programului</c:v>
                </c:pt>
              </c:strCache>
            </c:strRef>
          </c:cat>
          <c:val>
            <c:numRef>
              <c:extLst>
                <c:ext xmlns:c15="http://schemas.microsoft.com/office/drawing/2012/chart" uri="{02D57815-91ED-43cb-92C2-25804820EDAC}">
                  <c15:fullRef>
                    <c15:sqref>'Introducerea datelor'!$C$38:$C$45</c15:sqref>
                  </c15:fullRef>
                </c:ext>
              </c:extLst>
              <c:f>'Introducerea datelor'!$C$39:$C$45</c:f>
              <c:numCache>
                <c:formatCode>#,##0.00</c:formatCode>
                <c:ptCount val="7"/>
                <c:pt idx="0">
                  <c:v>445836.68</c:v>
                </c:pt>
                <c:pt idx="1">
                  <c:v>1964201.69</c:v>
                </c:pt>
                <c:pt idx="2">
                  <c:v>103304.87</c:v>
                </c:pt>
                <c:pt idx="3">
                  <c:v>2021391.77</c:v>
                </c:pt>
                <c:pt idx="4">
                  <c:v>1176804.3999999999</c:v>
                </c:pt>
                <c:pt idx="5">
                  <c:v>104387.5</c:v>
                </c:pt>
                <c:pt idx="6">
                  <c:v>510911.15</c:v>
                </c:pt>
              </c:numCache>
            </c:numRef>
          </c:val>
          <c:extLst>
            <c:ext xmlns:c16="http://schemas.microsoft.com/office/drawing/2014/chart" uri="{C3380CC4-5D6E-409C-BE32-E72D297353CC}">
              <c16:uniqueId val="{00000000-508A-4635-A6E2-88ADAD0856AB}"/>
            </c:ext>
          </c:extLst>
        </c:ser>
        <c:ser>
          <c:idx val="1"/>
          <c:order val="1"/>
          <c:tx>
            <c:strRef>
              <c:f>'Introducerea datelor'!$D$38</c:f>
              <c:strCache>
                <c:ptCount val="1"/>
                <c:pt idx="0">
                  <c:v>Cheltuielile Cumulative (în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datelor'!$B$38:$B$45</c15:sqref>
                  </c15:fullRef>
                </c:ext>
              </c:extLst>
              <c:f>'Introducerea datelor'!$B$39:$B$45</c:f>
              <c:strCache>
                <c:ptCount val="7"/>
                <c:pt idx="0">
                  <c:v>Asigurarea accesului universal la diagnosticul la timp şi de calitate al tuturor formelor de tuberculoză, inclusiv celor cu TB-M/EDR</c:v>
                </c:pt>
                <c:pt idx="1">
                  <c:v>Asigurarea accesului universal la tratamentul calitativ pentru toate formele de TB, inclusiv cu TB-M/EDR</c:v>
                </c:pt>
                <c:pt idx="2">
                  <c:v>Consolidarea managementului, coordonării, monitorizării și evaluării Programului Național de control al tuberculozei</c:v>
                </c:pt>
                <c:pt idx="3">
                  <c:v>Sporirea accesului la servicii de prevenire a infecției HIV, pe bază de dovezi</c:v>
                </c:pt>
                <c:pt idx="4">
                  <c:v>Asigurarea accesului universal la servicii de tratament, îngrijire și suport comprehensiv al infecției HIV</c:v>
                </c:pt>
                <c:pt idx="5">
                  <c:v>Consolidarea capacităţii comunităților si asigurarea durabilităţii programului </c:v>
                </c:pt>
                <c:pt idx="6">
                  <c:v>Fortificarea managementului Programului</c:v>
                </c:pt>
              </c:strCache>
            </c:strRef>
          </c:cat>
          <c:val>
            <c:numRef>
              <c:extLst>
                <c:ext xmlns:c15="http://schemas.microsoft.com/office/drawing/2012/chart" uri="{02D57815-91ED-43cb-92C2-25804820EDAC}">
                  <c15:fullRef>
                    <c15:sqref>'Introducerea datelor'!$D$38:$D$45</c15:sqref>
                  </c15:fullRef>
                </c:ext>
              </c:extLst>
              <c:f>'Introducerea datelor'!$D$39:$D$45</c:f>
              <c:numCache>
                <c:formatCode>#,##0.00</c:formatCode>
                <c:ptCount val="7"/>
                <c:pt idx="0">
                  <c:v>339707.77</c:v>
                </c:pt>
                <c:pt idx="1">
                  <c:v>1636347.1</c:v>
                </c:pt>
                <c:pt idx="2">
                  <c:v>76500.12</c:v>
                </c:pt>
                <c:pt idx="3">
                  <c:v>1792519.73</c:v>
                </c:pt>
                <c:pt idx="4">
                  <c:v>1195365.51</c:v>
                </c:pt>
                <c:pt idx="5">
                  <c:v>114433.02</c:v>
                </c:pt>
                <c:pt idx="6">
                  <c:v>536256.03</c:v>
                </c:pt>
              </c:numCache>
            </c:numRef>
          </c:val>
          <c:extLst>
            <c:ext xmlns:c16="http://schemas.microsoft.com/office/drawing/2014/chart" uri="{C3380CC4-5D6E-409C-BE32-E72D297353CC}">
              <c16:uniqueId val="{00000001-508A-4635-A6E2-88ADAD0856AB}"/>
            </c:ext>
          </c:extLst>
        </c:ser>
        <c:dLbls>
          <c:showLegendKey val="0"/>
          <c:showVal val="0"/>
          <c:showCatName val="0"/>
          <c:showSerName val="0"/>
          <c:showPercent val="0"/>
          <c:showBubbleSize val="0"/>
        </c:dLbls>
        <c:gapWidth val="100"/>
        <c:overlap val="-24"/>
        <c:axId val="218260016"/>
        <c:axId val="218383712"/>
      </c:barChart>
      <c:catAx>
        <c:axId val="2182600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383712"/>
        <c:crosses val="autoZero"/>
        <c:auto val="1"/>
        <c:lblAlgn val="ctr"/>
        <c:lblOffset val="100"/>
        <c:tickMarkSkip val="1"/>
        <c:noMultiLvlLbl val="0"/>
      </c:catAx>
      <c:valAx>
        <c:axId val="21838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60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1"/>
          <c:order val="0"/>
          <c:tx>
            <c:strRef>
              <c:f>'Introducerea datelor'!$G$121</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datelor'!$H$121:$S$121</c:f>
              <c:numCache>
                <c:formatCode>0.0%</c:formatCode>
                <c:ptCount val="12"/>
                <c:pt idx="0">
                  <c:v>0.20499999999999999</c:v>
                </c:pt>
                <c:pt idx="1">
                  <c:v>0.24</c:v>
                </c:pt>
                <c:pt idx="2">
                  <c:v>0.24</c:v>
                </c:pt>
                <c:pt idx="3">
                  <c:v>0.23</c:v>
                </c:pt>
                <c:pt idx="4">
                  <c:v>0.23</c:v>
                </c:pt>
                <c:pt idx="5">
                  <c:v>0.21</c:v>
                </c:pt>
                <c:pt idx="6">
                  <c:v>0.21</c:v>
                </c:pt>
              </c:numCache>
            </c:numRef>
          </c:val>
          <c:extLst>
            <c:ext xmlns:c16="http://schemas.microsoft.com/office/drawing/2014/chart" uri="{C3380CC4-5D6E-409C-BE32-E72D297353CC}">
              <c16:uniqueId val="{00000002-DCD8-4C81-A46D-B0AFC1EAE687}"/>
            </c:ext>
          </c:extLst>
        </c:ser>
        <c:ser>
          <c:idx val="2"/>
          <c:order val="1"/>
          <c:tx>
            <c:strRef>
              <c:f>'Introducerea datelor'!$G$122</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5-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datelor'!$H$122:$S$122</c:f>
              <c:numCache>
                <c:formatCode>0.0%</c:formatCode>
                <c:ptCount val="12"/>
                <c:pt idx="0">
                  <c:v>0.26600000000000001</c:v>
                </c:pt>
                <c:pt idx="1">
                  <c:v>0.27600000000000002</c:v>
                </c:pt>
                <c:pt idx="2">
                  <c:v>0.27700000000000002</c:v>
                </c:pt>
              </c:numCache>
            </c:numRef>
          </c:val>
          <c:extLst>
            <c:ext xmlns:c16="http://schemas.microsoft.com/office/drawing/2014/chart" uri="{C3380CC4-5D6E-409C-BE32-E72D297353CC}">
              <c16:uniqueId val="{00000006-DCD8-4C81-A46D-B0AFC1EAE687}"/>
            </c:ext>
          </c:extLst>
        </c:ser>
        <c:dLbls>
          <c:dLblPos val="outEnd"/>
          <c:showLegendKey val="0"/>
          <c:showVal val="1"/>
          <c:showCatName val="0"/>
          <c:showSerName val="0"/>
          <c:showPercent val="0"/>
          <c:showBubbleSize val="0"/>
        </c:dLbls>
        <c:gapWidth val="100"/>
        <c:overlap val="-24"/>
        <c:axId val="218384888"/>
        <c:axId val="218385672"/>
      </c:barChart>
      <c:catAx>
        <c:axId val="2183848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385672"/>
        <c:crosses val="autoZero"/>
        <c:auto val="1"/>
        <c:lblAlgn val="ctr"/>
        <c:lblOffset val="100"/>
        <c:tickLblSkip val="1"/>
        <c:tickMarkSkip val="1"/>
        <c:noMultiLvlLbl val="0"/>
      </c:catAx>
      <c:valAx>
        <c:axId val="218385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384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datelor'!$H$123:$S$123</c:f>
              <c:numCache>
                <c:formatCode>#,##0</c:formatCode>
                <c:ptCount val="12"/>
                <c:pt idx="0" formatCode="0.00%">
                  <c:v>3.0599999999999999E-2</c:v>
                </c:pt>
                <c:pt idx="1">
                  <c:v>0</c:v>
                </c:pt>
                <c:pt idx="2" formatCode="0.00%">
                  <c:v>3.7999999999999999E-2</c:v>
                </c:pt>
                <c:pt idx="3" formatCode="0.00%">
                  <c:v>0</c:v>
                </c:pt>
                <c:pt idx="4" formatCode="0.00%">
                  <c:v>3.6999999999999998E-2</c:v>
                </c:pt>
                <c:pt idx="5" formatCode="0.00%">
                  <c:v>0</c:v>
                </c:pt>
                <c:pt idx="6" formatCode="0.00%">
                  <c:v>3.5999999999999997E-2</c:v>
                </c:pt>
              </c:numCache>
            </c:numRef>
          </c:val>
          <c:extLst>
            <c:ext xmlns:c16="http://schemas.microsoft.com/office/drawing/2014/chart" uri="{C3380CC4-5D6E-409C-BE32-E72D297353CC}">
              <c16:uniqueId val="{00000002-52EC-4BDC-81F0-2E469D21FB78}"/>
            </c:ext>
          </c:extLst>
        </c:ser>
        <c:ser>
          <c:idx val="2"/>
          <c:order val="1"/>
          <c:tx>
            <c:strRef>
              <c:f>'Introducerea datelor'!$G$124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datelor'!$H$124:$S$124</c:f>
              <c:numCache>
                <c:formatCode>0.00%</c:formatCode>
                <c:ptCount val="12"/>
                <c:pt idx="0">
                  <c:v>3.5999999999999997E-2</c:v>
                </c:pt>
                <c:pt idx="1">
                  <c:v>0</c:v>
                </c:pt>
                <c:pt idx="2">
                  <c:v>4.2700000000000002E-2</c:v>
                </c:pt>
              </c:numCache>
            </c:numRef>
          </c:val>
          <c:extLst>
            <c:ext xmlns:c16="http://schemas.microsoft.com/office/drawing/2014/chart" uri="{C3380CC4-5D6E-409C-BE32-E72D297353CC}">
              <c16:uniqueId val="{00000005-52EC-4BDC-81F0-2E469D21FB78}"/>
            </c:ext>
          </c:extLst>
        </c:ser>
        <c:dLbls>
          <c:dLblPos val="outEnd"/>
          <c:showLegendKey val="0"/>
          <c:showVal val="1"/>
          <c:showCatName val="0"/>
          <c:showSerName val="0"/>
          <c:showPercent val="0"/>
          <c:showBubbleSize val="0"/>
        </c:dLbls>
        <c:gapWidth val="100"/>
        <c:overlap val="-24"/>
        <c:axId val="218386456"/>
        <c:axId val="217705448"/>
      </c:barChart>
      <c:catAx>
        <c:axId val="2183864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705448"/>
        <c:crosses val="autoZero"/>
        <c:auto val="1"/>
        <c:lblAlgn val="ctr"/>
        <c:lblOffset val="100"/>
        <c:tickLblSkip val="1"/>
        <c:tickMarkSkip val="1"/>
        <c:noMultiLvlLbl val="0"/>
      </c:catAx>
      <c:valAx>
        <c:axId val="217705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386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0"/>
          <c:order val="0"/>
          <c:tx>
            <c:strRef>
              <c:f>'Introducerea datelor'!$G$118</c:f>
              <c:strCache>
                <c:ptCount val="1"/>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datelor'!$H$118:$S$118</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ED6C-4DE1-9468-E65DE69FFA0B}"/>
            </c:ext>
          </c:extLst>
        </c:ser>
        <c:ser>
          <c:idx val="1"/>
          <c:order val="1"/>
          <c:tx>
            <c:strRef>
              <c:f>'Introducerea datelor'!$G$119</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ED6C-4DE1-9468-E65DE69FFA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datelor'!$H$119:$S$119</c:f>
              <c:numCache>
                <c:formatCode>0.0</c:formatCode>
                <c:ptCount val="12"/>
                <c:pt idx="0">
                  <c:v>8.6999999999999993</c:v>
                </c:pt>
                <c:pt idx="1">
                  <c:v>8.1999999999999993</c:v>
                </c:pt>
                <c:pt idx="2">
                  <c:v>8.1999999999999993</c:v>
                </c:pt>
                <c:pt idx="3">
                  <c:v>7.7</c:v>
                </c:pt>
                <c:pt idx="4">
                  <c:v>7.7</c:v>
                </c:pt>
                <c:pt idx="5">
                  <c:v>7.2</c:v>
                </c:pt>
                <c:pt idx="6">
                  <c:v>7.2</c:v>
                </c:pt>
              </c:numCache>
            </c:numRef>
          </c:val>
          <c:extLst>
            <c:ext xmlns:c16="http://schemas.microsoft.com/office/drawing/2014/chart" uri="{C3380CC4-5D6E-409C-BE32-E72D297353CC}">
              <c16:uniqueId val="{0000000B-ED6C-4DE1-9468-E65DE69FFA0B}"/>
            </c:ext>
          </c:extLst>
        </c:ser>
        <c:ser>
          <c:idx val="2"/>
          <c:order val="2"/>
          <c:tx>
            <c:strRef>
              <c:f>'Introducerea datelor'!$G$120</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datelor'!$H$120:$S$120</c:f>
              <c:numCache>
                <c:formatCode>0.0</c:formatCode>
                <c:ptCount val="12"/>
                <c:pt idx="0" formatCode="0.00">
                  <c:v>7.94</c:v>
                </c:pt>
                <c:pt idx="1">
                  <c:v>7.54</c:v>
                </c:pt>
                <c:pt idx="2">
                  <c:v>7.54</c:v>
                </c:pt>
              </c:numCache>
            </c:numRef>
          </c:val>
          <c:extLst>
            <c:ext xmlns:c16="http://schemas.microsoft.com/office/drawing/2014/chart" uri="{C3380CC4-5D6E-409C-BE32-E72D297353CC}">
              <c16:uniqueId val="{00000002-53B1-4744-BBDB-7F8F6A129AAC}"/>
            </c:ext>
          </c:extLst>
        </c:ser>
        <c:dLbls>
          <c:dLblPos val="outEnd"/>
          <c:showLegendKey val="0"/>
          <c:showVal val="1"/>
          <c:showCatName val="0"/>
          <c:showSerName val="0"/>
          <c:showPercent val="0"/>
          <c:showBubbleSize val="0"/>
        </c:dLbls>
        <c:gapWidth val="100"/>
        <c:overlap val="-24"/>
        <c:axId val="218658232"/>
        <c:axId val="218658624"/>
      </c:barChart>
      <c:catAx>
        <c:axId val="2186582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58624"/>
        <c:crosses val="autoZero"/>
        <c:auto val="1"/>
        <c:lblAlgn val="ctr"/>
        <c:lblOffset val="100"/>
        <c:tickLblSkip val="1"/>
        <c:tickMarkSkip val="1"/>
        <c:noMultiLvlLbl val="0"/>
      </c:catAx>
      <c:valAx>
        <c:axId val="218658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58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datelor'!$G$127</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datelor'!$H$127:$S$127</c:f>
              <c:numCache>
                <c:formatCode>#,##0</c:formatCode>
                <c:ptCount val="12"/>
                <c:pt idx="0">
                  <c:v>0</c:v>
                </c:pt>
                <c:pt idx="1">
                  <c:v>0</c:v>
                </c:pt>
                <c:pt idx="2">
                  <c:v>0</c:v>
                </c:pt>
                <c:pt idx="3">
                  <c:v>0</c:v>
                </c:pt>
                <c:pt idx="4">
                  <c:v>0</c:v>
                </c:pt>
                <c:pt idx="5" formatCode="0.0%">
                  <c:v>3.9E-2</c:v>
                </c:pt>
              </c:numCache>
            </c:numRef>
          </c:val>
          <c:extLst>
            <c:ext xmlns:c16="http://schemas.microsoft.com/office/drawing/2014/chart" uri="{C3380CC4-5D6E-409C-BE32-E72D297353CC}">
              <c16:uniqueId val="{00000002-AB67-4507-9DCD-77920C14C072}"/>
            </c:ext>
          </c:extLst>
        </c:ser>
        <c:ser>
          <c:idx val="2"/>
          <c:order val="1"/>
          <c:tx>
            <c:strRef>
              <c:f>'Introducerea datelor'!$G$128</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datelor'!$H$128:$S$128</c:f>
              <c:numCache>
                <c:formatCode>0.00%</c:formatCode>
                <c:ptCount val="12"/>
                <c:pt idx="0" formatCode="#,##0">
                  <c:v>0</c:v>
                </c:pt>
                <c:pt idx="1">
                  <c:v>0</c:v>
                </c:pt>
                <c:pt idx="2" formatCode="#,##0">
                  <c:v>0</c:v>
                </c:pt>
              </c:numCache>
            </c:numRef>
          </c:val>
          <c:extLst>
            <c:ext xmlns:c16="http://schemas.microsoft.com/office/drawing/2014/chart" uri="{C3380CC4-5D6E-409C-BE32-E72D297353CC}">
              <c16:uniqueId val="{00000005-AB67-4507-9DCD-77920C14C072}"/>
            </c:ext>
          </c:extLst>
        </c:ser>
        <c:dLbls>
          <c:dLblPos val="outEnd"/>
          <c:showLegendKey val="0"/>
          <c:showVal val="1"/>
          <c:showCatName val="0"/>
          <c:showSerName val="0"/>
          <c:showPercent val="0"/>
          <c:showBubbleSize val="0"/>
        </c:dLbls>
        <c:gapWidth val="100"/>
        <c:overlap val="-24"/>
        <c:axId val="218659408"/>
        <c:axId val="218659800"/>
      </c:barChart>
      <c:catAx>
        <c:axId val="2186594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59800"/>
        <c:crosses val="autoZero"/>
        <c:auto val="1"/>
        <c:lblAlgn val="ctr"/>
        <c:lblOffset val="100"/>
        <c:tickLblSkip val="1"/>
        <c:tickMarkSkip val="1"/>
        <c:noMultiLvlLbl val="0"/>
      </c:catAx>
      <c:valAx>
        <c:axId val="218659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59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datelor'!$G$129</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datelor'!$H$129:$S$129</c:f>
              <c:numCache>
                <c:formatCode>#,##0</c:formatCode>
                <c:ptCount val="12"/>
                <c:pt idx="0">
                  <c:v>0</c:v>
                </c:pt>
                <c:pt idx="1">
                  <c:v>0</c:v>
                </c:pt>
                <c:pt idx="2">
                  <c:v>0</c:v>
                </c:pt>
                <c:pt idx="3">
                  <c:v>0</c:v>
                </c:pt>
                <c:pt idx="4">
                  <c:v>0</c:v>
                </c:pt>
                <c:pt idx="5" formatCode="0.0%">
                  <c:v>0.13900000000000001</c:v>
                </c:pt>
              </c:numCache>
            </c:numRef>
          </c:val>
          <c:extLst>
            <c:ext xmlns:c16="http://schemas.microsoft.com/office/drawing/2014/chart" uri="{C3380CC4-5D6E-409C-BE32-E72D297353CC}">
              <c16:uniqueId val="{00000002-4350-409D-B5E1-D06548E981D0}"/>
            </c:ext>
          </c:extLst>
        </c:ser>
        <c:ser>
          <c:idx val="2"/>
          <c:order val="1"/>
          <c:tx>
            <c:strRef>
              <c:f>'Introducerea datelor'!$G$130</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datelor'!$H$130:$S$130</c:f>
              <c:numCache>
                <c:formatCode>0.00%</c:formatCode>
                <c:ptCount val="12"/>
                <c:pt idx="0" formatCode="#,##0">
                  <c:v>0</c:v>
                </c:pt>
                <c:pt idx="1">
                  <c:v>0</c:v>
                </c:pt>
                <c:pt idx="2" formatCode="#,##0">
                  <c:v>0</c:v>
                </c:pt>
              </c:numCache>
            </c:numRef>
          </c:val>
          <c:extLst>
            <c:ext xmlns:c16="http://schemas.microsoft.com/office/drawing/2014/chart" uri="{C3380CC4-5D6E-409C-BE32-E72D297353CC}">
              <c16:uniqueId val="{00000005-4350-409D-B5E1-D06548E981D0}"/>
            </c:ext>
          </c:extLst>
        </c:ser>
        <c:dLbls>
          <c:dLblPos val="outEnd"/>
          <c:showLegendKey val="0"/>
          <c:showVal val="1"/>
          <c:showCatName val="0"/>
          <c:showSerName val="0"/>
          <c:showPercent val="0"/>
          <c:showBubbleSize val="0"/>
        </c:dLbls>
        <c:gapWidth val="100"/>
        <c:overlap val="-24"/>
        <c:axId val="218660584"/>
        <c:axId val="218660976"/>
      </c:barChart>
      <c:catAx>
        <c:axId val="2186605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60976"/>
        <c:crosses val="autoZero"/>
        <c:auto val="1"/>
        <c:lblAlgn val="ctr"/>
        <c:lblOffset val="100"/>
        <c:tickLblSkip val="1"/>
        <c:tickMarkSkip val="1"/>
        <c:noMultiLvlLbl val="0"/>
      </c:catAx>
      <c:valAx>
        <c:axId val="218660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60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datelor'!$G$125</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datelor'!$H$125:$S$125</c:f>
              <c:numCache>
                <c:formatCode>#,##0</c:formatCode>
                <c:ptCount val="12"/>
                <c:pt idx="0" formatCode="0.0">
                  <c:v>0</c:v>
                </c:pt>
                <c:pt idx="1">
                  <c:v>0</c:v>
                </c:pt>
                <c:pt idx="2" formatCode="0.0">
                  <c:v>0</c:v>
                </c:pt>
                <c:pt idx="3" formatCode="0.0">
                  <c:v>0</c:v>
                </c:pt>
                <c:pt idx="4" formatCode="0.0">
                  <c:v>0</c:v>
                </c:pt>
                <c:pt idx="5" formatCode="0.0%">
                  <c:v>0.09</c:v>
                </c:pt>
              </c:numCache>
            </c:numRef>
          </c:val>
          <c:extLst>
            <c:ext xmlns:c16="http://schemas.microsoft.com/office/drawing/2014/chart" uri="{C3380CC4-5D6E-409C-BE32-E72D297353CC}">
              <c16:uniqueId val="{00000005-45E1-4BA1-8735-4FFEBDCD01F4}"/>
            </c:ext>
          </c:extLst>
        </c:ser>
        <c:ser>
          <c:idx val="2"/>
          <c:order val="1"/>
          <c:tx>
            <c:strRef>
              <c:f>'Introducerea datelor'!$G$126</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7-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datelor'!$H$126:$S$126</c:f>
              <c:numCache>
                <c:formatCode>0.00%</c:formatCode>
                <c:ptCount val="12"/>
                <c:pt idx="0" formatCode="0.0">
                  <c:v>0</c:v>
                </c:pt>
                <c:pt idx="1">
                  <c:v>0</c:v>
                </c:pt>
                <c:pt idx="2" formatCode="0.0">
                  <c:v>0</c:v>
                </c:pt>
              </c:numCache>
            </c:numRef>
          </c:val>
          <c:extLst>
            <c:ext xmlns:c16="http://schemas.microsoft.com/office/drawing/2014/chart" uri="{C3380CC4-5D6E-409C-BE32-E72D297353CC}">
              <c16:uniqueId val="{00000008-45E1-4BA1-8735-4FFEBDCD01F4}"/>
            </c:ext>
          </c:extLst>
        </c:ser>
        <c:dLbls>
          <c:dLblPos val="outEnd"/>
          <c:showLegendKey val="0"/>
          <c:showVal val="1"/>
          <c:showCatName val="0"/>
          <c:showSerName val="0"/>
          <c:showPercent val="0"/>
          <c:showBubbleSize val="0"/>
        </c:dLbls>
        <c:gapWidth val="100"/>
        <c:overlap val="-24"/>
        <c:axId val="219195792"/>
        <c:axId val="219196184"/>
      </c:barChart>
      <c:catAx>
        <c:axId val="2191957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196184"/>
        <c:crosses val="autoZero"/>
        <c:auto val="1"/>
        <c:lblAlgn val="ctr"/>
        <c:lblOffset val="100"/>
        <c:tickLblSkip val="1"/>
        <c:tickMarkSkip val="1"/>
        <c:noMultiLvlLbl val="0"/>
      </c:catAx>
      <c:valAx>
        <c:axId val="219196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195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2030552.71</c:v>
                </c:pt>
                <c:pt idx="1">
                  <c:v>4014018.55</c:v>
                </c:pt>
                <c:pt idx="2">
                  <c:v>6326838.0599999996</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3F6-427C-8045-4E5D2B1805E3}"/>
            </c:ext>
          </c:extLst>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2829411.8</c:v>
                </c:pt>
                <c:pt idx="1">
                  <c:v>4013553.53</c:v>
                </c:pt>
                <c:pt idx="2">
                  <c:v>6370715.4100000001</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73F6-427C-8045-4E5D2B1805E3}"/>
            </c:ext>
          </c:extLst>
        </c:ser>
        <c:dLbls>
          <c:showLegendKey val="0"/>
          <c:showVal val="0"/>
          <c:showCatName val="0"/>
          <c:showSerName val="0"/>
          <c:showPercent val="0"/>
          <c:showBubbleSize val="0"/>
        </c:dLbls>
        <c:dropLines>
          <c:spPr>
            <a:ln w="3175">
              <a:solidFill>
                <a:srgbClr val="000000"/>
              </a:solidFill>
              <a:prstDash val="solid"/>
            </a:ln>
          </c:spPr>
        </c:dropLines>
        <c:axId val="219196576"/>
        <c:axId val="219196968"/>
      </c:areaChart>
      <c:catAx>
        <c:axId val="21919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19196968"/>
        <c:crosses val="autoZero"/>
        <c:auto val="1"/>
        <c:lblAlgn val="ctr"/>
        <c:lblOffset val="100"/>
        <c:tickLblSkip val="8"/>
        <c:tickMarkSkip val="1"/>
        <c:noMultiLvlLbl val="0"/>
      </c:catAx>
      <c:valAx>
        <c:axId val="21919696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919657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Actions!A1"/><Relationship Id="rId13" Type="http://schemas.openxmlformats.org/officeDocument/2006/relationships/image" Target="../media/image4.png"/><Relationship Id="rId3" Type="http://schemas.openxmlformats.org/officeDocument/2006/relationships/hyperlink" Target="#Management!Print_Area"/><Relationship Id="rId7" Type="http://schemas.openxmlformats.org/officeDocument/2006/relationships/hyperlink" Target="#Actiuni!R1C1"/><Relationship Id="rId12"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andari!R1C1"/><Relationship Id="rId11" Type="http://schemas.openxmlformats.org/officeDocument/2006/relationships/hyperlink" Target="#'Introducerea datelor'!R1C1"/><Relationship Id="rId5" Type="http://schemas.openxmlformats.org/officeDocument/2006/relationships/hyperlink" Target="#Programatic!R1C1"/><Relationship Id="rId10" Type="http://schemas.openxmlformats.org/officeDocument/2006/relationships/hyperlink" Target="#'Lista Indicatorilor'!R1C1"/><Relationship Id="rId4" Type="http://schemas.openxmlformats.org/officeDocument/2006/relationships/hyperlink" Target="#Financiar!R1C1"/><Relationship Id="rId9" Type="http://schemas.openxmlformats.org/officeDocument/2006/relationships/hyperlink" Target="#'Detail despre Grant'!R1C1"/><Relationship Id="rId1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hyperlink" Target="#Meniu!R1C1"/></Relationships>
</file>

<file path=xl/drawings/_rels/drawing3.xml.rels><?xml version="1.0" encoding="UTF-8" standalone="yes"?>
<Relationships xmlns="http://schemas.openxmlformats.org/package/2006/relationships"><Relationship Id="rId1" Type="http://schemas.openxmlformats.org/officeDocument/2006/relationships/hyperlink" Target="#Meniu!R1C1"/></Relationships>
</file>

<file path=xl/drawings/_rels/drawing4.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hyperlink" Target="https://www.crwflags.com/fotw/images/m/md.gif"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iu!R1C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iu!R1C1"/><Relationship Id="rId1" Type="http://schemas.openxmlformats.org/officeDocument/2006/relationships/chart" Target="../charts/chart6.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hyperlink" Target="#Meniu!R1C1"/><Relationship Id="rId1" Type="http://schemas.openxmlformats.org/officeDocument/2006/relationships/chart" Target="../charts/chart9.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iu!R1C1"/></Relationships>
</file>

<file path=xl/drawings/_rels/drawing9.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a:extLst>
            <a:ext uri="{FF2B5EF4-FFF2-40B4-BE49-F238E27FC236}">
              <a16:creationId xmlns:a16="http://schemas.microsoft.com/office/drawing/2014/main" id="{00000000-0008-0000-0000-000076BA2A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a:extLst>
            <a:ext uri="{FF2B5EF4-FFF2-40B4-BE49-F238E27FC236}">
              <a16:creationId xmlns:a16="http://schemas.microsoft.com/office/drawing/2014/main" id="{00000000-0008-0000-0000-000077BA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a:extLst>
            <a:ext uri="{FF2B5EF4-FFF2-40B4-BE49-F238E27FC236}">
              <a16:creationId xmlns:a16="http://schemas.microsoft.com/office/drawing/2014/main" id="{00000000-0008-0000-0000-000078BA2A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309562</xdr:colOff>
      <xdr:row>10</xdr:row>
      <xdr:rowOff>47625</xdr:rowOff>
    </xdr:from>
    <xdr:to>
      <xdr:col>6</xdr:col>
      <xdr:colOff>557212</xdr:colOff>
      <xdr:row>12</xdr:row>
      <xdr:rowOff>38100</xdr:rowOff>
    </xdr:to>
    <xdr:grpSp>
      <xdr:nvGrpSpPr>
        <xdr:cNvPr id="2800249" name="Group 25">
          <a:hlinkClick xmlns:r="http://schemas.openxmlformats.org/officeDocument/2006/relationships" r:id="rId3"/>
          <a:extLst>
            <a:ext uri="{FF2B5EF4-FFF2-40B4-BE49-F238E27FC236}">
              <a16:creationId xmlns:a16="http://schemas.microsoft.com/office/drawing/2014/main" id="{00000000-0008-0000-0000-000079BA2A00}"/>
            </a:ext>
          </a:extLst>
        </xdr:cNvPr>
        <xdr:cNvGrpSpPr>
          <a:grpSpLocks/>
        </xdr:cNvGrpSpPr>
      </xdr:nvGrpSpPr>
      <xdr:grpSpPr bwMode="auto">
        <a:xfrm>
          <a:off x="3436937" y="2436813"/>
          <a:ext cx="1009650" cy="371475"/>
          <a:chOff x="1200" y="1912"/>
          <a:chExt cx="3456" cy="774"/>
        </a:xfrm>
      </xdr:grpSpPr>
      <xdr:sp macro="" textlink="">
        <xdr:nvSpPr>
          <xdr:cNvPr id="2800293" name="AutoShape 26">
            <a:extLst>
              <a:ext uri="{FF2B5EF4-FFF2-40B4-BE49-F238E27FC236}">
                <a16:creationId xmlns:a16="http://schemas.microsoft.com/office/drawing/2014/main" id="{00000000-0008-0000-0000-0000A5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15</xdr:row>
      <xdr:rowOff>171450</xdr:rowOff>
    </xdr:from>
    <xdr:to>
      <xdr:col>6</xdr:col>
      <xdr:colOff>585787</xdr:colOff>
      <xdr:row>17</xdr:row>
      <xdr:rowOff>161925</xdr:rowOff>
    </xdr:to>
    <xdr:grpSp>
      <xdr:nvGrpSpPr>
        <xdr:cNvPr id="2800250" name="Group 25">
          <a:hlinkClick xmlns:r="http://schemas.openxmlformats.org/officeDocument/2006/relationships" r:id="rId5"/>
          <a:extLst>
            <a:ext uri="{FF2B5EF4-FFF2-40B4-BE49-F238E27FC236}">
              <a16:creationId xmlns:a16="http://schemas.microsoft.com/office/drawing/2014/main" id="{00000000-0008-0000-0000-00007ABA2A00}"/>
            </a:ext>
          </a:extLst>
        </xdr:cNvPr>
        <xdr:cNvGrpSpPr>
          <a:grpSpLocks/>
        </xdr:cNvGrpSpPr>
      </xdr:nvGrpSpPr>
      <xdr:grpSpPr bwMode="auto">
        <a:xfrm>
          <a:off x="3408362" y="3513138"/>
          <a:ext cx="1066800" cy="371475"/>
          <a:chOff x="1200" y="1912"/>
          <a:chExt cx="3456" cy="774"/>
        </a:xfrm>
      </xdr:grpSpPr>
      <xdr:sp macro="" textlink="">
        <xdr:nvSpPr>
          <xdr:cNvPr id="2800290" name="AutoShape 26">
            <a:extLst>
              <a:ext uri="{FF2B5EF4-FFF2-40B4-BE49-F238E27FC236}">
                <a16:creationId xmlns:a16="http://schemas.microsoft.com/office/drawing/2014/main" id="{00000000-0008-0000-0000-0000A2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13</xdr:row>
      <xdr:rowOff>9525</xdr:rowOff>
    </xdr:from>
    <xdr:to>
      <xdr:col>6</xdr:col>
      <xdr:colOff>585787</xdr:colOff>
      <xdr:row>15</xdr:row>
      <xdr:rowOff>0</xdr:rowOff>
    </xdr:to>
    <xdr:grpSp>
      <xdr:nvGrpSpPr>
        <xdr:cNvPr id="2800251" name="Group 25">
          <a:hlinkClick xmlns:r="http://schemas.openxmlformats.org/officeDocument/2006/relationships" r:id="rId4"/>
          <a:extLst>
            <a:ext uri="{FF2B5EF4-FFF2-40B4-BE49-F238E27FC236}">
              <a16:creationId xmlns:a16="http://schemas.microsoft.com/office/drawing/2014/main" id="{00000000-0008-0000-0000-00007BBA2A00}"/>
            </a:ext>
          </a:extLst>
        </xdr:cNvPr>
        <xdr:cNvGrpSpPr>
          <a:grpSpLocks/>
        </xdr:cNvGrpSpPr>
      </xdr:nvGrpSpPr>
      <xdr:grpSpPr bwMode="auto">
        <a:xfrm>
          <a:off x="3408362" y="2970213"/>
          <a:ext cx="1066800" cy="371475"/>
          <a:chOff x="1200" y="1912"/>
          <a:chExt cx="3456" cy="774"/>
        </a:xfrm>
      </xdr:grpSpPr>
      <xdr:sp macro="" textlink="">
        <xdr:nvSpPr>
          <xdr:cNvPr id="2800287" name="AutoShape 26">
            <a:extLst>
              <a:ext uri="{FF2B5EF4-FFF2-40B4-BE49-F238E27FC236}">
                <a16:creationId xmlns:a16="http://schemas.microsoft.com/office/drawing/2014/main" id="{00000000-0008-0000-0000-00009F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a:extLst>
            <a:ext uri="{FF2B5EF4-FFF2-40B4-BE49-F238E27FC236}">
              <a16:creationId xmlns:a16="http://schemas.microsoft.com/office/drawing/2014/main" id="{00000000-0008-0000-0000-00007DBA2A00}"/>
            </a:ext>
          </a:extLst>
        </xdr:cNvPr>
        <xdr:cNvGrpSpPr>
          <a:grpSpLocks/>
        </xdr:cNvGrpSpPr>
      </xdr:nvGrpSpPr>
      <xdr:grpSpPr bwMode="auto">
        <a:xfrm>
          <a:off x="5708650" y="2579688"/>
          <a:ext cx="1501775" cy="409575"/>
          <a:chOff x="599" y="262"/>
          <a:chExt cx="158" cy="43"/>
        </a:xfrm>
      </xdr:grpSpPr>
      <xdr:sp macro="" textlink="">
        <xdr:nvSpPr>
          <xdr:cNvPr id="2800283" name="AutoShape 30">
            <a:extLst>
              <a:ext uri="{FF2B5EF4-FFF2-40B4-BE49-F238E27FC236}">
                <a16:creationId xmlns:a16="http://schemas.microsoft.com/office/drawing/2014/main" id="{00000000-0008-0000-0000-00009BBA2A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a:extLst>
              <a:ext uri="{FF2B5EF4-FFF2-40B4-BE49-F238E27FC236}">
                <a16:creationId xmlns:a16="http://schemas.microsoft.com/office/drawing/2014/main" id="{00000000-0008-0000-0000-00009CBA2A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a:extLst>
                <a:ext uri="{FF2B5EF4-FFF2-40B4-BE49-F238E27FC236}">
                  <a16:creationId xmlns:a16="http://schemas.microsoft.com/office/drawing/2014/main" id="{00000000-0008-0000-0000-00009EBA2A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a:extLst>
            <a:ext uri="{FF2B5EF4-FFF2-40B4-BE49-F238E27FC236}">
              <a16:creationId xmlns:a16="http://schemas.microsoft.com/office/drawing/2014/main" id="{00000000-0008-0000-0000-00007EBA2A00}"/>
            </a:ext>
          </a:extLst>
        </xdr:cNvPr>
        <xdr:cNvGrpSpPr>
          <a:grpSpLocks/>
        </xdr:cNvGrpSpPr>
      </xdr:nvGrpSpPr>
      <xdr:grpSpPr bwMode="auto">
        <a:xfrm>
          <a:off x="327025" y="1903413"/>
          <a:ext cx="2143125" cy="2124075"/>
          <a:chOff x="32" y="188"/>
          <a:chExt cx="225" cy="225"/>
        </a:xfrm>
      </xdr:grpSpPr>
      <xdr:sp macro="" textlink="">
        <xdr:nvSpPr>
          <xdr:cNvPr id="2800281" name="AutoShape 31">
            <a:extLst>
              <a:ext uri="{FF2B5EF4-FFF2-40B4-BE49-F238E27FC236}">
                <a16:creationId xmlns:a16="http://schemas.microsoft.com/office/drawing/2014/main" id="{00000000-0008-0000-0000-000099BA2A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a:hlinkClick xmlns:r="http://schemas.openxmlformats.org/officeDocument/2006/relationships" r:id="rId7"/>
          <a:extLst>
            <a:ext uri="{FF2B5EF4-FFF2-40B4-BE49-F238E27FC236}">
              <a16:creationId xmlns:a16="http://schemas.microsoft.com/office/drawing/2014/main" id="{00000000-0008-0000-0000-00007FBA2A00}"/>
            </a:ext>
          </a:extLst>
        </xdr:cNvPr>
        <xdr:cNvGrpSpPr>
          <a:grpSpLocks/>
        </xdr:cNvGrpSpPr>
      </xdr:nvGrpSpPr>
      <xdr:grpSpPr bwMode="auto">
        <a:xfrm>
          <a:off x="5699125" y="3208338"/>
          <a:ext cx="1501775" cy="409575"/>
          <a:chOff x="578" y="328"/>
          <a:chExt cx="158" cy="43"/>
        </a:xfrm>
      </xdr:grpSpPr>
      <xdr:sp macro="" textlink="">
        <xdr:nvSpPr>
          <xdr:cNvPr id="2800277" name="AutoShape 30">
            <a:extLst>
              <a:ext uri="{FF2B5EF4-FFF2-40B4-BE49-F238E27FC236}">
                <a16:creationId xmlns:a16="http://schemas.microsoft.com/office/drawing/2014/main" id="{00000000-0008-0000-0000-000095BA2A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a:extLst>
              <a:ext uri="{FF2B5EF4-FFF2-40B4-BE49-F238E27FC236}">
                <a16:creationId xmlns:a16="http://schemas.microsoft.com/office/drawing/2014/main" id="{00000000-0008-0000-0000-000096BA2A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8"/>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a:extLst>
                <a:ext uri="{FF2B5EF4-FFF2-40B4-BE49-F238E27FC236}">
                  <a16:creationId xmlns:a16="http://schemas.microsoft.com/office/drawing/2014/main" id="{00000000-0008-0000-0000-000098BA2A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9"/>
          <a:extLst>
            <a:ext uri="{FF2B5EF4-FFF2-40B4-BE49-F238E27FC236}">
              <a16:creationId xmlns:a16="http://schemas.microsoft.com/office/drawing/2014/main" id="{00000000-0008-0000-0000-000080BA2A00}"/>
            </a:ext>
          </a:extLst>
        </xdr:cNvPr>
        <xdr:cNvGrpSpPr>
          <a:grpSpLocks/>
        </xdr:cNvGrpSpPr>
      </xdr:nvGrpSpPr>
      <xdr:grpSpPr bwMode="auto">
        <a:xfrm>
          <a:off x="593725" y="3475038"/>
          <a:ext cx="1504950" cy="342900"/>
          <a:chOff x="56" y="259"/>
          <a:chExt cx="158" cy="40"/>
        </a:xfrm>
      </xdr:grpSpPr>
      <xdr:sp macro="" textlink="">
        <xdr:nvSpPr>
          <xdr:cNvPr id="2800273" name="AutoShape 30">
            <a:extLst>
              <a:ext uri="{FF2B5EF4-FFF2-40B4-BE49-F238E27FC236}">
                <a16:creationId xmlns:a16="http://schemas.microsoft.com/office/drawing/2014/main" id="{00000000-0008-0000-0000-000091BA2A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a:extLst>
              <a:ext uri="{FF2B5EF4-FFF2-40B4-BE49-F238E27FC236}">
                <a16:creationId xmlns:a16="http://schemas.microsoft.com/office/drawing/2014/main" id="{00000000-0008-0000-0000-000092BA2A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Detalii despre Grant</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10"/>
          <a:extLst>
            <a:ext uri="{FF2B5EF4-FFF2-40B4-BE49-F238E27FC236}">
              <a16:creationId xmlns:a16="http://schemas.microsoft.com/office/drawing/2014/main" id="{00000000-0008-0000-0000-000081BA2A00}"/>
            </a:ext>
          </a:extLst>
        </xdr:cNvPr>
        <xdr:cNvGrpSpPr>
          <a:grpSpLocks/>
        </xdr:cNvGrpSpPr>
      </xdr:nvGrpSpPr>
      <xdr:grpSpPr bwMode="auto">
        <a:xfrm>
          <a:off x="593725" y="2417763"/>
          <a:ext cx="1504950" cy="371475"/>
          <a:chOff x="1343025" y="2428876"/>
          <a:chExt cx="3240982" cy="617274"/>
        </a:xfrm>
      </xdr:grpSpPr>
      <xdr:sp macro="" textlink="">
        <xdr:nvSpPr>
          <xdr:cNvPr id="2800269" name="AutoShape 30">
            <a:extLst>
              <a:ext uri="{FF2B5EF4-FFF2-40B4-BE49-F238E27FC236}">
                <a16:creationId xmlns:a16="http://schemas.microsoft.com/office/drawing/2014/main" id="{00000000-0008-0000-0000-00008D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a:extLst>
              <a:ext uri="{FF2B5EF4-FFF2-40B4-BE49-F238E27FC236}">
                <a16:creationId xmlns:a16="http://schemas.microsoft.com/office/drawing/2014/main" id="{00000000-0008-0000-0000-00008EBA2A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Lista indicatorilor</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1"/>
          <a:extLst>
            <a:ext uri="{FF2B5EF4-FFF2-40B4-BE49-F238E27FC236}">
              <a16:creationId xmlns:a16="http://schemas.microsoft.com/office/drawing/2014/main" id="{00000000-0008-0000-0000-000082BA2A00}"/>
            </a:ext>
          </a:extLst>
        </xdr:cNvPr>
        <xdr:cNvGrpSpPr>
          <a:grpSpLocks/>
        </xdr:cNvGrpSpPr>
      </xdr:nvGrpSpPr>
      <xdr:grpSpPr bwMode="auto">
        <a:xfrm>
          <a:off x="593725" y="2951163"/>
          <a:ext cx="1504950" cy="371475"/>
          <a:chOff x="1343025" y="2428876"/>
          <a:chExt cx="3240982" cy="617274"/>
        </a:xfrm>
      </xdr:grpSpPr>
      <xdr:sp macro="" textlink="">
        <xdr:nvSpPr>
          <xdr:cNvPr id="2800265" name="AutoShape 30">
            <a:extLst>
              <a:ext uri="{FF2B5EF4-FFF2-40B4-BE49-F238E27FC236}">
                <a16:creationId xmlns:a16="http://schemas.microsoft.com/office/drawing/2014/main" id="{00000000-0008-0000-0000-000089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a:extLst>
              <a:ext uri="{FF2B5EF4-FFF2-40B4-BE49-F238E27FC236}">
                <a16:creationId xmlns:a16="http://schemas.microsoft.com/office/drawing/2014/main" id="{00000000-0008-0000-0000-00008ABA2A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Introducerea datelor</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a:extLst>
            <a:ext uri="{FF2B5EF4-FFF2-40B4-BE49-F238E27FC236}">
              <a16:creationId xmlns:a16="http://schemas.microsoft.com/office/drawing/2014/main" id="{00000000-0008-0000-0000-000083BA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a:extLst>
            <a:ext uri="{FF2B5EF4-FFF2-40B4-BE49-F238E27FC236}">
              <a16:creationId xmlns:a16="http://schemas.microsoft.com/office/drawing/2014/main" id="{00000000-0008-0000-0000-000085BA2A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a:extLst>
            <a:ext uri="{FF2B5EF4-FFF2-40B4-BE49-F238E27FC236}">
              <a16:creationId xmlns:a16="http://schemas.microsoft.com/office/drawing/2014/main" id="{00000000-0008-0000-0000-000087BA2A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28575</xdr:rowOff>
    </xdr:from>
    <xdr:to>
      <xdr:col>2</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a:extLst>
            <a:ext uri="{FF2B5EF4-FFF2-40B4-BE49-F238E27FC236}">
              <a16:creationId xmlns:a16="http://schemas.microsoft.com/office/drawing/2014/main" id="{00000000-0008-0000-0400-000095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a:extLst>
            <a:ext uri="{FF2B5EF4-FFF2-40B4-BE49-F238E27FC236}">
              <a16:creationId xmlns:a16="http://schemas.microsoft.com/office/drawing/2014/main" id="{00000000-0008-0000-0400-000096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a:extLst>
            <a:ext uri="{FF2B5EF4-FFF2-40B4-BE49-F238E27FC236}">
              <a16:creationId xmlns:a16="http://schemas.microsoft.com/office/drawing/2014/main" id="{00000000-0008-0000-0400-000097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a:extLst>
            <a:ext uri="{FF2B5EF4-FFF2-40B4-BE49-F238E27FC236}">
              <a16:creationId xmlns:a16="http://schemas.microsoft.com/office/drawing/2014/main" id="{00000000-0008-0000-0400-000098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142876</xdr:rowOff>
    </xdr:from>
    <xdr:to>
      <xdr:col>5</xdr:col>
      <xdr:colOff>838200</xdr:colOff>
      <xdr:row>32</xdr:row>
      <xdr:rowOff>337040</xdr:rowOff>
    </xdr:to>
    <xdr:graphicFrame macro="">
      <xdr:nvGraphicFramePr>
        <xdr:cNvPr id="2125209" name="Chart 1091">
          <a:extLst>
            <a:ext uri="{FF2B5EF4-FFF2-40B4-BE49-F238E27FC236}">
              <a16:creationId xmlns:a16="http://schemas.microsoft.com/office/drawing/2014/main" id="{00000000-0008-0000-0400-000099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4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9</xdr:row>
      <xdr:rowOff>95250</xdr:rowOff>
    </xdr:from>
    <xdr:to>
      <xdr:col>6</xdr:col>
      <xdr:colOff>19050</xdr:colOff>
      <xdr:row>20</xdr:row>
      <xdr:rowOff>180975</xdr:rowOff>
    </xdr:to>
    <xdr:graphicFrame macro="">
      <xdr:nvGraphicFramePr>
        <xdr:cNvPr id="1591153" name="Chart 32">
          <a:extLst>
            <a:ext uri="{FF2B5EF4-FFF2-40B4-BE49-F238E27FC236}">
              <a16:creationId xmlns:a16="http://schemas.microsoft.com/office/drawing/2014/main" id="{00000000-0008-0000-0500-000071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5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12010</xdr:colOff>
      <xdr:row>9</xdr:row>
      <xdr:rowOff>85725</xdr:rowOff>
    </xdr:from>
    <xdr:to>
      <xdr:col>11</xdr:col>
      <xdr:colOff>0</xdr:colOff>
      <xdr:row>20</xdr:row>
      <xdr:rowOff>163286</xdr:rowOff>
    </xdr:to>
    <xdr:graphicFrame macro="">
      <xdr:nvGraphicFramePr>
        <xdr:cNvPr id="1591159" name="Chart 31">
          <a:extLst>
            <a:ext uri="{FF2B5EF4-FFF2-40B4-BE49-F238E27FC236}">
              <a16:creationId xmlns:a16="http://schemas.microsoft.com/office/drawing/2014/main" id="{00000000-0008-0000-0500-000077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85724</xdr:rowOff>
    </xdr:from>
    <xdr:to>
      <xdr:col>6</xdr:col>
      <xdr:colOff>85725</xdr:colOff>
      <xdr:row>31</xdr:row>
      <xdr:rowOff>164051</xdr:rowOff>
    </xdr:to>
    <xdr:graphicFrame macro="">
      <xdr:nvGraphicFramePr>
        <xdr:cNvPr id="1591157" name="Chart 34">
          <a:extLst>
            <a:ext uri="{FF2B5EF4-FFF2-40B4-BE49-F238E27FC236}">
              <a16:creationId xmlns:a16="http://schemas.microsoft.com/office/drawing/2014/main" id="{00000000-0008-0000-0500-000075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479534</xdr:colOff>
      <xdr:row>9</xdr:row>
      <xdr:rowOff>163285</xdr:rowOff>
    </xdr:from>
    <xdr:to>
      <xdr:col>12</xdr:col>
      <xdr:colOff>381000</xdr:colOff>
      <xdr:row>18</xdr:row>
      <xdr:rowOff>8283</xdr:rowOff>
    </xdr:to>
    <xdr:graphicFrame macro="">
      <xdr:nvGraphicFramePr>
        <xdr:cNvPr id="21433" name="Chart 33">
          <a:extLst>
            <a:ext uri="{FF2B5EF4-FFF2-40B4-BE49-F238E27FC236}">
              <a16:creationId xmlns:a16="http://schemas.microsoft.com/office/drawing/2014/main" id="{00000000-0008-0000-0600-0000B9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0</xdr:row>
      <xdr:rowOff>0</xdr:rowOff>
    </xdr:from>
    <xdr:to>
      <xdr:col>2</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12</xdr:col>
      <xdr:colOff>619125</xdr:colOff>
      <xdr:row>9</xdr:row>
      <xdr:rowOff>85725</xdr:rowOff>
    </xdr:from>
    <xdr:to>
      <xdr:col>17</xdr:col>
      <xdr:colOff>1714500</xdr:colOff>
      <xdr:row>18</xdr:row>
      <xdr:rowOff>0</xdr:rowOff>
    </xdr:to>
    <xdr:graphicFrame macro="">
      <xdr:nvGraphicFramePr>
        <xdr:cNvPr id="21435" name="Chart 488">
          <a:extLst>
            <a:ext uri="{FF2B5EF4-FFF2-40B4-BE49-F238E27FC236}">
              <a16:creationId xmlns:a16="http://schemas.microsoft.com/office/drawing/2014/main" id="{00000000-0008-0000-0600-0000BB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563217</xdr:colOff>
      <xdr:row>9</xdr:row>
      <xdr:rowOff>38757</xdr:rowOff>
    </xdr:from>
    <xdr:to>
      <xdr:col>6</xdr:col>
      <xdr:colOff>132521</xdr:colOff>
      <xdr:row>18</xdr:row>
      <xdr:rowOff>16565</xdr:rowOff>
    </xdr:to>
    <xdr:graphicFrame macro="">
      <xdr:nvGraphicFramePr>
        <xdr:cNvPr id="21436" name="Chart 553">
          <a:extLst>
            <a:ext uri="{FF2B5EF4-FFF2-40B4-BE49-F238E27FC236}">
              <a16:creationId xmlns:a16="http://schemas.microsoft.com/office/drawing/2014/main" id="{00000000-0008-0000-0600-0000BC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405847</xdr:colOff>
      <xdr:row>20</xdr:row>
      <xdr:rowOff>54428</xdr:rowOff>
    </xdr:from>
    <xdr:to>
      <xdr:col>12</xdr:col>
      <xdr:colOff>513522</xdr:colOff>
      <xdr:row>27</xdr:row>
      <xdr:rowOff>190499</xdr:rowOff>
    </xdr:to>
    <xdr:graphicFrame macro="">
      <xdr:nvGraphicFramePr>
        <xdr:cNvPr id="12" name="Chart 33">
          <a:extLst>
            <a:ext uri="{FF2B5EF4-FFF2-40B4-BE49-F238E27FC236}">
              <a16:creationId xmlns:a16="http://schemas.microsoft.com/office/drawing/2014/main" id="{600152D3-84BF-42C4-A4A0-1A7AD4E54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687458</xdr:colOff>
      <xdr:row>19</xdr:row>
      <xdr:rowOff>1496785</xdr:rowOff>
    </xdr:from>
    <xdr:to>
      <xdr:col>17</xdr:col>
      <xdr:colOff>1741716</xdr:colOff>
      <xdr:row>28</xdr:row>
      <xdr:rowOff>54429</xdr:rowOff>
    </xdr:to>
    <xdr:graphicFrame macro="">
      <xdr:nvGraphicFramePr>
        <xdr:cNvPr id="13" name="Chart 488">
          <a:extLst>
            <a:ext uri="{FF2B5EF4-FFF2-40B4-BE49-F238E27FC236}">
              <a16:creationId xmlns:a16="http://schemas.microsoft.com/office/drawing/2014/main" id="{3E793879-612B-4A57-8549-3F75E34EE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811696</xdr:colOff>
      <xdr:row>20</xdr:row>
      <xdr:rowOff>35615</xdr:rowOff>
    </xdr:from>
    <xdr:to>
      <xdr:col>6</xdr:col>
      <xdr:colOff>105959</xdr:colOff>
      <xdr:row>28</xdr:row>
      <xdr:rowOff>23134</xdr:rowOff>
    </xdr:to>
    <xdr:graphicFrame macro="">
      <xdr:nvGraphicFramePr>
        <xdr:cNvPr id="14" name="Chart 553">
          <a:extLst>
            <a:ext uri="{FF2B5EF4-FFF2-40B4-BE49-F238E27FC236}">
              <a16:creationId xmlns:a16="http://schemas.microsoft.com/office/drawing/2014/main" id="{DB6E02A6-3642-4C64-B3D9-062814B85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a:extLst>
            <a:ext uri="{FF2B5EF4-FFF2-40B4-BE49-F238E27FC236}">
              <a16:creationId xmlns:a16="http://schemas.microsoft.com/office/drawing/2014/main" id="{00000000-0008-0000-0700-0000D75D2600}"/>
            </a:ext>
          </a:extLst>
        </xdr:cNvPr>
        <xdr:cNvGrpSpPr>
          <a:grpSpLocks/>
        </xdr:cNvGrpSpPr>
      </xdr:nvGrpSpPr>
      <xdr:grpSpPr bwMode="auto">
        <a:xfrm>
          <a:off x="7226300" y="12090400"/>
          <a:ext cx="85725" cy="0"/>
          <a:chOff x="595" y="540"/>
          <a:chExt cx="9" cy="9"/>
        </a:xfrm>
      </xdr:grpSpPr>
      <xdr:sp macro="" textlink="">
        <xdr:nvSpPr>
          <xdr:cNvPr id="2514402" name="Rectangle 11">
            <a:extLst>
              <a:ext uri="{FF2B5EF4-FFF2-40B4-BE49-F238E27FC236}">
                <a16:creationId xmlns:a16="http://schemas.microsoft.com/office/drawing/2014/main" id="{00000000-0008-0000-0700-0000E2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a:extLst>
              <a:ext uri="{FF2B5EF4-FFF2-40B4-BE49-F238E27FC236}">
                <a16:creationId xmlns:a16="http://schemas.microsoft.com/office/drawing/2014/main" id="{00000000-0008-0000-0700-0000E3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a:extLst>
            <a:ext uri="{FF2B5EF4-FFF2-40B4-BE49-F238E27FC236}">
              <a16:creationId xmlns:a16="http://schemas.microsoft.com/office/drawing/2014/main" id="{00000000-0008-0000-0700-0000D85D2600}"/>
            </a:ext>
          </a:extLst>
        </xdr:cNvPr>
        <xdr:cNvGrpSpPr>
          <a:grpSpLocks/>
        </xdr:cNvGrpSpPr>
      </xdr:nvGrpSpPr>
      <xdr:grpSpPr bwMode="auto">
        <a:xfrm>
          <a:off x="8207375" y="12090400"/>
          <a:ext cx="82550" cy="0"/>
          <a:chOff x="698" y="540"/>
          <a:chExt cx="9" cy="9"/>
        </a:xfrm>
      </xdr:grpSpPr>
      <xdr:sp macro="" textlink="">
        <xdr:nvSpPr>
          <xdr:cNvPr id="2514400" name="Rectangle 47">
            <a:extLst>
              <a:ext uri="{FF2B5EF4-FFF2-40B4-BE49-F238E27FC236}">
                <a16:creationId xmlns:a16="http://schemas.microsoft.com/office/drawing/2014/main" id="{00000000-0008-0000-0700-0000E0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a:extLst>
              <a:ext uri="{FF2B5EF4-FFF2-40B4-BE49-F238E27FC236}">
                <a16:creationId xmlns:a16="http://schemas.microsoft.com/office/drawing/2014/main" id="{00000000-0008-0000-0700-0000E1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a:extLst>
            <a:ext uri="{FF2B5EF4-FFF2-40B4-BE49-F238E27FC236}">
              <a16:creationId xmlns:a16="http://schemas.microsoft.com/office/drawing/2014/main" id="{00000000-0008-0000-0700-0000D95D2600}"/>
            </a:ext>
          </a:extLst>
        </xdr:cNvPr>
        <xdr:cNvGrpSpPr>
          <a:grpSpLocks/>
        </xdr:cNvGrpSpPr>
      </xdr:nvGrpSpPr>
      <xdr:grpSpPr bwMode="auto">
        <a:xfrm>
          <a:off x="5175250" y="12090400"/>
          <a:ext cx="1758950" cy="0"/>
          <a:chOff x="698" y="540"/>
          <a:chExt cx="9" cy="9"/>
        </a:xfrm>
      </xdr:grpSpPr>
      <xdr:sp macro="" textlink="">
        <xdr:nvSpPr>
          <xdr:cNvPr id="2514398" name="Rectangle 47">
            <a:extLst>
              <a:ext uri="{FF2B5EF4-FFF2-40B4-BE49-F238E27FC236}">
                <a16:creationId xmlns:a16="http://schemas.microsoft.com/office/drawing/2014/main" id="{00000000-0008-0000-0700-0000DE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a:extLst>
              <a:ext uri="{FF2B5EF4-FFF2-40B4-BE49-F238E27FC236}">
                <a16:creationId xmlns:a16="http://schemas.microsoft.com/office/drawing/2014/main" id="{00000000-0008-0000-0700-0000DF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a:extLst>
            <a:ext uri="{FF2B5EF4-FFF2-40B4-BE49-F238E27FC236}">
              <a16:creationId xmlns:a16="http://schemas.microsoft.com/office/drawing/2014/main" id="{00000000-0008-0000-0700-0000DA5D2600}"/>
            </a:ext>
          </a:extLst>
        </xdr:cNvPr>
        <xdr:cNvGrpSpPr>
          <a:grpSpLocks/>
        </xdr:cNvGrpSpPr>
      </xdr:nvGrpSpPr>
      <xdr:grpSpPr bwMode="auto">
        <a:xfrm>
          <a:off x="1435100" y="12090400"/>
          <a:ext cx="85725" cy="0"/>
          <a:chOff x="595" y="540"/>
          <a:chExt cx="9" cy="9"/>
        </a:xfrm>
      </xdr:grpSpPr>
      <xdr:sp macro="" textlink="">
        <xdr:nvSpPr>
          <xdr:cNvPr id="2514396" name="Rectangle 11">
            <a:extLst>
              <a:ext uri="{FF2B5EF4-FFF2-40B4-BE49-F238E27FC236}">
                <a16:creationId xmlns:a16="http://schemas.microsoft.com/office/drawing/2014/main" id="{00000000-0008-0000-0700-0000DC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a:extLst>
              <a:ext uri="{FF2B5EF4-FFF2-40B4-BE49-F238E27FC236}">
                <a16:creationId xmlns:a16="http://schemas.microsoft.com/office/drawing/2014/main" id="{00000000-0008-0000-0700-0000DD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a:extLst>
            <a:ext uri="{FF2B5EF4-FFF2-40B4-BE49-F238E27FC236}">
              <a16:creationId xmlns:a16="http://schemas.microsoft.com/office/drawing/2014/main" id="{00000000-0008-0000-0800-0000DD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a:extLst>
            <a:ext uri="{FF2B5EF4-FFF2-40B4-BE49-F238E27FC236}">
              <a16:creationId xmlns:a16="http://schemas.microsoft.com/office/drawing/2014/main" id="{00000000-0008-0000-0900-0000EF6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A010000}" name="Table1" displayName="Table1" ref="A1:G25" totalsRowShown="0" headerRowDxfId="10" headerRowBorderDxfId="9" tableBorderDxfId="8" totalsRowBorderDxfId="7">
  <autoFilter ref="A1:G25" xr:uid="{00000000-0009-0000-0100-000001000000}"/>
  <tableColumns count="7">
    <tableColumn id="7" xr3:uid="{00000000-0010-0000-3A01-000007000000}" name="N" dataDxfId="6"/>
    <tableColumn id="1" xr3:uid="{00000000-0010-0000-3A01-000001000000}" name="Column1" dataDxfId="5"/>
    <tableColumn id="2" xr3:uid="{00000000-0010-0000-3A01-000002000000}" name="Column2" dataDxfId="4"/>
    <tableColumn id="3" xr3:uid="{00000000-0010-0000-3A01-000003000000}" name="Indicator" dataDxfId="3"/>
    <tableColumn id="4" xr3:uid="{00000000-0010-0000-3A01-000004000000}" name="Definiție (din M&amp;E Plan)" dataDxfId="2"/>
    <tableColumn id="5" xr3:uid="{00000000-0010-0000-3A01-000005000000}" name="metode de măsurare" dataDxfId="1"/>
    <tableColumn id="6" xr3:uid="{00000000-0010-0000-3A01-000006000000}" name="Sursa de date" dataDxfId="0"/>
  </tableColumns>
  <tableStyleInfo name="TableStyleLight11"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8" xr6:uid="{00000000-000C-0000-FFFF-FFFF2F000000}" r="C45" connectionId="0">
    <xmlCellPr id="1" xr6:uid="{00000000-0010-0000-2F00-000001000000}" uniqueName="1">
      <xmlPr mapId="43" xpath="/ns1:Root/ns1:F2/ns1:Environ__Community_TB_care__Cumulative_Budget__in___" xmlDataType="double"/>
    </xmlCellPr>
  </singleXmlCell>
  <singleXmlCell id="469" xr6:uid="{00000000-000C-0000-FFFF-FFFF30000000}" r="D45" connectionId="0">
    <xmlCellPr id="1" xr6:uid="{00000000-0010-0000-3000-000001000000}" uniqueName="1">
      <xmlPr mapId="43" xpath="/ns1:Root/ns1:F2/ns1:Environ__Community_TB_care__Cumulative_Expenditures__in___" xmlDataType="double"/>
    </xmlCellPr>
  </singleXmlCell>
  <singleXmlCell id="470" xr6:uid="{00000000-000C-0000-FFFF-FFFF31000000}" r="C46" connectionId="0">
    <xmlCellPr id="1" xr6:uid="{00000000-0010-0000-3100-000001000000}" uniqueName="1">
      <xmlPr mapId="43" xpath="/ns1:Root/ns1:F2/ns1:_Cumulative_Budget__in____1" xmlDataType="string"/>
    </xmlCellPr>
  </singleXmlCell>
  <singleXmlCell id="471" xr6:uid="{00000000-000C-0000-FFFF-FFFF32000000}" r="D46" connectionId="0">
    <xmlCellPr id="1" xr6:uid="{00000000-0010-0000-3200-000001000000}" uniqueName="1">
      <xmlPr mapId="43" xpath="/ns1:Root/ns1:F2/ns1:_Cumulative_Expenditures__in____1" xmlDataType="string"/>
    </xmlCellPr>
  </singleXmlCell>
  <singleXmlCell id="472" xr6:uid="{00000000-000C-0000-FFFF-FFFF33000000}" r="C47" connectionId="0">
    <xmlCellPr id="1" xr6:uid="{00000000-0010-0000-3300-000001000000}" uniqueName="1">
      <xmlPr mapId="43" xpath="/ns1:Root/ns1:F2/ns1:_Cumulative_Budget__in____2" xmlDataType="string"/>
    </xmlCellPr>
  </singleXmlCell>
  <singleXmlCell id="473" xr6:uid="{00000000-000C-0000-FFFF-FFFF34000000}" r="D47" connectionId="0">
    <xmlCellPr id="1" xr6:uid="{00000000-0010-0000-3400-000001000000}" uniqueName="1">
      <xmlPr mapId="43" xpath="/ns1:Root/ns1:F2/ns1:_Cumulative_Expenditures__in____2" xmlDataType="string"/>
    </xmlCellPr>
  </singleXmlCell>
  <singleXmlCell id="474" xr6:uid="{00000000-000C-0000-FFFF-FFFF35000000}" r="C48" connectionId="0">
    <xmlCellPr id="1" xr6:uid="{00000000-0010-0000-3500-000001000000}" uniqueName="1">
      <xmlPr mapId="43" xpath="/ns1:Root/ns1:F2/ns1:_Cumulative_Budget__in___" xmlDataType="string"/>
    </xmlCellPr>
  </singleXmlCell>
  <singleXmlCell id="475" xr6:uid="{00000000-000C-0000-FFFF-FFFF36000000}" r="D48" connectionId="0">
    <xmlCellPr id="1" xr6:uid="{00000000-0010-0000-3600-000001000000}" uniqueName="1">
      <xmlPr mapId="43" xpath="/ns1:Root/ns1:F2/ns1:_Cumulative_Expenditures__in___" xmlDataType="string"/>
    </xmlCellPr>
  </singleXmlCell>
  <singleXmlCell id="476" xr6:uid="{00000000-000C-0000-FFFF-FFFF37000000}" r="C54" connectionId="0">
    <xmlCellPr id="1" xr6:uid="{00000000-0010-0000-3700-000001000000}" uniqueName="1">
      <xmlPr mapId="43" xpath="/ns1:Root/ns1:F3/ns1:Disbursed_by_Global_Fund_Prior_to_reporting_period__in___" xmlDataType="double"/>
    </xmlCellPr>
  </singleXmlCell>
  <singleXmlCell id="477" xr6:uid="{00000000-000C-0000-FFFF-FFFF38000000}" r="D54" connectionId="0">
    <xmlCellPr id="1" xr6:uid="{00000000-0010-0000-3800-000001000000}" uniqueName="1">
      <xmlPr mapId="43" xpath="/ns1:Root/ns1:F3/ns1:Disbursed_by_Global_Fund_Reporting_period__in___" xmlDataType="double"/>
    </xmlCellPr>
  </singleXmlCell>
  <singleXmlCell id="478" xr6:uid="{00000000-000C-0000-FFFF-FFFF39000000}" r="C55" connectionId="0">
    <xmlCellPr id="1" xr6:uid="{00000000-0010-0000-3900-000001000000}" uniqueName="1">
      <xmlPr mapId="43" xpath="/ns1:Root/ns1:F3/ns1:PR_expenditure_and_disbursement_Prior_to_reporting_period__in___" xmlDataType="double"/>
    </xmlCellPr>
  </singleXmlCell>
  <singleXmlCell id="479" xr6:uid="{00000000-000C-0000-FFFF-FFFF3A000000}" r="D55" connectionId="0">
    <xmlCellPr id="1" xr6:uid="{00000000-0010-0000-3A00-000001000000}" uniqueName="1">
      <xmlPr mapId="43" xpath="/ns1:Root/ns1:F3/ns1:PR_expenditure_and_disbursement_Reporting_period__in___" xmlDataType="double"/>
    </xmlCellPr>
  </singleXmlCell>
  <singleXmlCell id="480" xr6:uid="{00000000-000C-0000-FFFF-FFFF3B000000}" r="C56" connectionId="0">
    <xmlCellPr id="1" xr6:uid="{00000000-0010-0000-3B00-000001000000}" uniqueName="1">
      <xmlPr mapId="43" xpath="/ns1:Root/ns1:F3/ns1:Disbursed_to_SRs_Prior_to_reporting_period__in___" xmlDataType="double"/>
    </xmlCellPr>
  </singleXmlCell>
  <singleXmlCell id="481" xr6:uid="{00000000-000C-0000-FFFF-FFFF3C000000}" r="D56" connectionId="0">
    <xmlCellPr id="1" xr6:uid="{00000000-0010-0000-3C00-000001000000}" uniqueName="1">
      <xmlPr mapId="43" xpath="/ns1:Root/ns1:F3/ns1:Disbursed_to_SRs_Reporting_period__in___" xmlDataType="double"/>
    </xmlCellPr>
  </singleXmlCell>
  <singleXmlCell id="482" xr6:uid="{00000000-000C-0000-FFFF-FFFF3D000000}" r="C57" connectionId="0">
    <xmlCellPr id="1" xr6:uid="{00000000-0010-0000-3D00-000001000000}" uniqueName="1">
      <xmlPr mapId="43" xpath="/ns1:Root/ns1:F3/ns1:SR_expenditures_Prior_to_reporting_period__in___" xmlDataType="double"/>
    </xmlCellPr>
  </singleXmlCell>
  <singleXmlCell id="483" xr6:uid="{00000000-000C-0000-FFFF-FFFF3E000000}" r="D57" connectionId="0">
    <xmlCellPr id="1" xr6:uid="{00000000-0010-0000-3E00-000001000000}" uniqueName="1">
      <xmlPr mapId="43" xpath="/ns1:Root/ns1:F3/ns1:SR_expenditures_Reporting_period__in___" xmlDataType="double"/>
    </xmlCellPr>
  </singleXmlCell>
  <singleXmlCell id="484" xr6:uid="{00000000-000C-0000-FFFF-FFFF3F000000}" r="C64" connectionId="0">
    <xmlCellPr id="1" xr6:uid="{00000000-0010-0000-3F00-000001000000}" uniqueName="1">
      <xmlPr mapId="43" xpath="/ns1:Root/ns1:F4/ns1:Days_taken_to_submit_acceptable_PU_DR_to_LFA_Expected__days_" xmlDataType="double"/>
    </xmlCellPr>
  </singleXmlCell>
  <singleXmlCell id="485" xr6:uid="{00000000-000C-0000-FFFF-FFFF40000000}" r="D64" connectionId="0">
    <xmlCellPr id="1" xr6:uid="{00000000-0010-0000-4000-000001000000}" uniqueName="1">
      <xmlPr mapId="43" xpath="/ns1:Root/ns1:F4/ns1:Days_taken_to_submit_acceptable_PU_DR_to_LFA_Actual__days_" xmlDataType="double"/>
    </xmlCellPr>
  </singleXmlCell>
  <singleXmlCell id="486" xr6:uid="{00000000-000C-0000-FFFF-FFFF41000000}" r="C65" connectionId="0">
    <xmlCellPr id="1" xr6:uid="{00000000-0010-0000-4100-000001000000}" uniqueName="1">
      <xmlPr mapId="43" xpath="/ns1:Root/ns1:F4/ns1:Days_taken_for_disbursement_to_reach_PR_Expected__days_" xmlDataType="double"/>
    </xmlCellPr>
  </singleXmlCell>
  <singleXmlCell id="487" xr6:uid="{00000000-000C-0000-FFFF-FFFF42000000}" r="D65" connectionId="0">
    <xmlCellPr id="1" xr6:uid="{00000000-0010-0000-4200-000001000000}" uniqueName="1">
      <xmlPr mapId="43" xpath="/ns1:Root/ns1:F4/ns1:Days_taken_for_disbursement_to_reach_PR_Actual__days_" xmlDataType="double"/>
    </xmlCellPr>
  </singleXmlCell>
  <singleXmlCell id="488" xr6:uid="{00000000-000C-0000-FFFF-FFFF43000000}" r="C66" connectionId="0">
    <xmlCellPr id="1" xr6:uid="{00000000-0010-0000-4300-000001000000}" uniqueName="1">
      <xmlPr mapId="43" xpath="/ns1:Root/ns1:F4/ns1:Days_taken_for_disbursement_to_reach_SRs__Expected__days_" xmlDataType="double"/>
    </xmlCellPr>
  </singleXmlCell>
  <singleXmlCell id="489" xr6:uid="{00000000-000C-0000-FFFF-FFFF44000000}" r="D66" connectionId="0">
    <xmlCellPr id="1" xr6:uid="{00000000-0010-0000-4400-000001000000}" uniqueName="1">
      <xmlPr mapId="43" xpath="/ns1:Root/ns1:F4/ns1:Days_taken_for_disbursement_to_reach_SRs__Actual__days_" xmlDataType="double"/>
    </xmlCellPr>
  </singleXmlCell>
  <singleXmlCell id="490" xr6:uid="{00000000-000C-0000-FFFF-FFFF45000000}" r="B74" connectionId="0">
    <xmlCellPr id="1" xr6:uid="{00000000-0010-0000-4500-000001000000}" uniqueName="1">
      <xmlPr mapId="43" xpath="/ns1:Root/ns1:M1/ns1:Conditions_precedents__CPs__" xmlDataType="string"/>
    </xmlCellPr>
  </singleXmlCell>
  <singleXmlCell id="491" xr6:uid="{00000000-000C-0000-FFFF-FFFF46000000}" r="D74" connectionId="0">
    <xmlCellPr id="1" xr6:uid="{00000000-0010-0000-4600-000001000000}" uniqueName="1">
      <xmlPr mapId="43" xpath="/ns1:Root/ns1:M1/ns1:Conditions_precedents__CPs__Fulfilled" xmlDataType="double"/>
    </xmlCellPr>
  </singleXmlCell>
  <singleXmlCell id="492" xr6:uid="{00000000-000C-0000-FFFF-FFFF47000000}" r="E74"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4"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5" connectionId="0">
    <xmlCellPr id="1" xr6:uid="{00000000-0010-0000-4900-000001000000}" uniqueName="1">
      <xmlPr mapId="43" xpath="/ns1:Root/ns1:M1/ns1:Time_Bound_Actions__TBAs__" xmlDataType="string"/>
    </xmlCellPr>
  </singleXmlCell>
  <singleXmlCell id="495" xr6:uid="{00000000-000C-0000-FFFF-FFFF4A000000}" r="D75" connectionId="0">
    <xmlCellPr id="1" xr6:uid="{00000000-0010-0000-4A00-000001000000}" uniqueName="1">
      <xmlPr mapId="43" xpath="/ns1:Root/ns1:M1/ns1:Time_Bound_Actions__TBAs__Fulfilled" xmlDataType="double"/>
    </xmlCellPr>
  </singleXmlCell>
  <singleXmlCell id="496" xr6:uid="{00000000-000C-0000-FFFF-FFFF4B000000}" r="E75" connectionId="0">
    <xmlCellPr id="1" xr6:uid="{00000000-0010-0000-4B00-000001000000}" uniqueName="1">
      <xmlPr mapId="43" xpath="/ns1:Root/ns1:M1/ns1:Time_Bound_Actions__TBAs__Not_fulfilled__but_within_deadline" xmlDataType="string"/>
    </xmlCellPr>
  </singleXmlCell>
  <singleXmlCell id="497" xr6:uid="{00000000-000C-0000-FFFF-FFFF4C000000}" r="F75"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81" connectionId="0">
    <xmlCellPr id="1" xr6:uid="{00000000-0010-0000-4D00-000001000000}" uniqueName="1">
      <xmlPr mapId="43" xpath="/ns1:Root/ns1:M2/ns1:PMU_Planned" xmlDataType="double"/>
    </xmlCellPr>
  </singleXmlCell>
  <singleXmlCell id="499" xr6:uid="{00000000-000C-0000-FFFF-FFFF4E000000}" r="D81" connectionId="0">
    <xmlCellPr id="1" xr6:uid="{00000000-0010-0000-4E00-000001000000}" uniqueName="1">
      <xmlPr mapId="43" xpath="/ns1:Root/ns1:M2/ns1:PMU_Filled" xmlDataType="double"/>
    </xmlCellPr>
  </singleXmlCell>
  <singleXmlCell id="500" xr6:uid="{00000000-000C-0000-FFFF-FFFF4F000000}" r="C86" connectionId="0">
    <xmlCellPr id="1" xr6:uid="{00000000-0010-0000-4F00-000001000000}" uniqueName="1">
      <xmlPr mapId="43" xpath="/ns1:Root/ns1:M3/ns1:SRs_Identified" xmlDataType="double"/>
    </xmlCellPr>
  </singleXmlCell>
  <singleXmlCell id="501" xr6:uid="{00000000-000C-0000-FFFF-FFFF50000000}" r="D86" connectionId="0">
    <xmlCellPr id="1" xr6:uid="{00000000-0010-0000-5000-000001000000}" uniqueName="1">
      <xmlPr mapId="43" xpath="/ns1:Root/ns1:M3/ns1:SRs_Assessed" xmlDataType="double"/>
    </xmlCellPr>
  </singleXmlCell>
  <singleXmlCell id="502" xr6:uid="{00000000-000C-0000-FFFF-FFFF51000000}" r="E86" connectionId="0">
    <xmlCellPr id="1" xr6:uid="{00000000-0010-0000-5100-000001000000}" uniqueName="1">
      <xmlPr mapId="43" xpath="/ns1:Root/ns1:M3/ns1:SRs_Approved" xmlDataType="double"/>
    </xmlCellPr>
  </singleXmlCell>
  <singleXmlCell id="503" xr6:uid="{00000000-000C-0000-FFFF-FFFF52000000}" r="F86" connectionId="0">
    <xmlCellPr id="1" xr6:uid="{00000000-0010-0000-5200-000001000000}" uniqueName="1">
      <xmlPr mapId="43" xpath="/ns1:Root/ns1:M3/ns1:SRs_Signed" xmlDataType="double"/>
    </xmlCellPr>
  </singleXmlCell>
  <singleXmlCell id="504" xr6:uid="{00000000-000C-0000-FFFF-FFFF53000000}" r="G86" connectionId="0">
    <xmlCellPr id="1" xr6:uid="{00000000-0010-0000-5300-000001000000}" uniqueName="1">
      <xmlPr mapId="43" xpath="/ns1:Root/ns1:M3/ns1:SRs_Receiving_Funding" xmlDataType="double"/>
    </xmlCellPr>
  </singleXmlCell>
  <singleXmlCell id="506" xr6:uid="{00000000-000C-0000-FFFF-FFFF54000000}" r="C91" connectionId="0">
    <xmlCellPr id="1" xr6:uid="{00000000-0010-0000-5400-000001000000}" uniqueName="1">
      <xmlPr mapId="43" xpath="/ns1:Root/ns1:M4/ns1:SSR_to_SR__IR_____Expected" xmlDataType="string"/>
    </xmlCellPr>
  </singleXmlCell>
  <singleXmlCell id="507" xr6:uid="{00000000-000C-0000-FFFF-FFFF55000000}" r="D91" connectionId="0">
    <xmlCellPr id="1" xr6:uid="{00000000-0010-0000-5500-000001000000}" uniqueName="1">
      <xmlPr mapId="43" xpath="/ns1:Root/ns1:M4/ns1:SSR_to_SR__IR____Received" xmlDataType="string"/>
    </xmlCellPr>
  </singleXmlCell>
  <singleXmlCell id="509" xr6:uid="{00000000-000C-0000-FFFF-FFFF56000000}" r="C92" connectionId="0">
    <xmlCellPr id="1" xr6:uid="{00000000-0010-0000-5600-000001000000}" uniqueName="1">
      <xmlPr mapId="43" xpath="/ns1:Root/ns1:M4/ns1:SRs__IRs__to_PR____Expected" xmlDataType="double"/>
    </xmlCellPr>
  </singleXmlCell>
  <singleXmlCell id="510" xr6:uid="{00000000-000C-0000-FFFF-FFFF57000000}" r="D92" connectionId="0">
    <xmlCellPr id="1" xr6:uid="{00000000-0010-0000-5700-000001000000}" uniqueName="1">
      <xmlPr mapId="43" xpath="/ns1:Root/ns1:M4/ns1:SRs__IRs__to_PR___Received" xmlDataType="double"/>
    </xmlCellPr>
  </singleXmlCell>
  <singleXmlCell id="511" xr6:uid="{00000000-000C-0000-FFFF-FFFF58000000}" r="C97" connectionId="0">
    <xmlCellPr id="1" xr6:uid="{00000000-0010-0000-5800-000001000000}" uniqueName="1">
      <xmlPr mapId="43" xpath="/ns1:Root/ns1:M5/ns1:Budget_Approved__P1" xmlDataType="double"/>
    </xmlCellPr>
  </singleXmlCell>
  <singleXmlCell id="512" xr6:uid="{00000000-000C-0000-FFFF-FFFF59000000}" r="D97" connectionId="0">
    <xmlCellPr id="1" xr6:uid="{00000000-0010-0000-5900-000001000000}" uniqueName="1">
      <xmlPr mapId="43" xpath="/ns1:Root/ns1:M5/ns1:Budget_Approved__P2" xmlDataType="double"/>
    </xmlCellPr>
  </singleXmlCell>
  <singleXmlCell id="513" xr6:uid="{00000000-000C-0000-FFFF-FFFF5A000000}" r="E97" connectionId="0">
    <xmlCellPr id="1" xr6:uid="{00000000-0010-0000-5A00-000001000000}" uniqueName="1">
      <xmlPr mapId="43" xpath="/ns1:Root/ns1:M5/ns1:Budget_Approved__P3" xmlDataType="double"/>
    </xmlCellPr>
  </singleXmlCell>
  <singleXmlCell id="514" xr6:uid="{00000000-000C-0000-FFFF-FFFF5B000000}" r="F97" connectionId="0">
    <xmlCellPr id="1" xr6:uid="{00000000-0010-0000-5B00-000001000000}" uniqueName="1">
      <xmlPr mapId="43" xpath="/ns1:Root/ns1:M5/ns1:Budget_Approved__P4" xmlDataType="double"/>
    </xmlCellPr>
  </singleXmlCell>
  <singleXmlCell id="515" xr6:uid="{00000000-000C-0000-FFFF-FFFF5C000000}" r="G97" connectionId="0">
    <xmlCellPr id="1" xr6:uid="{00000000-0010-0000-5C00-000001000000}" uniqueName="1">
      <xmlPr mapId="43" xpath="/ns1:Root/ns1:M5/ns1:Budget_Approved__P5" xmlDataType="double"/>
    </xmlCellPr>
  </singleXmlCell>
  <singleXmlCell id="516" xr6:uid="{00000000-000C-0000-FFFF-FFFF5D000000}" r="H97" connectionId="0">
    <xmlCellPr id="1" xr6:uid="{00000000-0010-0000-5D00-000001000000}" uniqueName="1">
      <xmlPr mapId="43" xpath="/ns1:Root/ns1:M5/ns1:Budget_Approved__P6" xmlDataType="double"/>
    </xmlCellPr>
  </singleXmlCell>
  <singleXmlCell id="517" xr6:uid="{00000000-000C-0000-FFFF-FFFF5E000000}" r="I97" connectionId="0">
    <xmlCellPr id="1" xr6:uid="{00000000-0010-0000-5E00-000001000000}" uniqueName="1">
      <xmlPr mapId="43" xpath="/ns1:Root/ns1:M5/ns1:Budget_Approved__P7" xmlDataType="double"/>
    </xmlCellPr>
  </singleXmlCell>
  <singleXmlCell id="518" xr6:uid="{00000000-000C-0000-FFFF-FFFF5F000000}" r="J97" connectionId="0">
    <xmlCellPr id="1" xr6:uid="{00000000-0010-0000-5F00-000001000000}" uniqueName="1">
      <xmlPr mapId="43" xpath="/ns1:Root/ns1:M5/ns1:Budget_Approved__P8" xmlDataType="double"/>
    </xmlCellPr>
  </singleXmlCell>
  <singleXmlCell id="519" xr6:uid="{00000000-000C-0000-FFFF-FFFF60000000}" r="K97" connectionId="0">
    <xmlCellPr id="1" xr6:uid="{00000000-0010-0000-6000-000001000000}" uniqueName="1">
      <xmlPr mapId="43" xpath="/ns1:Root/ns1:M5/ns1:Budget_Approved__P9" xmlDataType="double"/>
    </xmlCellPr>
  </singleXmlCell>
  <singleXmlCell id="520" xr6:uid="{00000000-000C-0000-FFFF-FFFF61000000}" r="L97" connectionId="0">
    <xmlCellPr id="1" xr6:uid="{00000000-0010-0000-6100-000001000000}" uniqueName="1">
      <xmlPr mapId="43" xpath="/ns1:Root/ns1:M5/ns1:Budget_Approved__P10" xmlDataType="double"/>
    </xmlCellPr>
  </singleXmlCell>
  <singleXmlCell id="521" xr6:uid="{00000000-000C-0000-FFFF-FFFF62000000}" r="M97" connectionId="0">
    <xmlCellPr id="1" xr6:uid="{00000000-0010-0000-6200-000001000000}" uniqueName="1">
      <xmlPr mapId="43" xpath="/ns1:Root/ns1:M5/ns1:Budget_Approved__P11" xmlDataType="double"/>
    </xmlCellPr>
  </singleXmlCell>
  <singleXmlCell id="522" xr6:uid="{00000000-000C-0000-FFFF-FFFF63000000}" r="N97" connectionId="0">
    <xmlCellPr id="1" xr6:uid="{00000000-0010-0000-6300-000001000000}" uniqueName="1">
      <xmlPr mapId="43" xpath="/ns1:Root/ns1:M5/ns1:Budget_Approved__P12" xmlDataType="double"/>
    </xmlCellPr>
  </singleXmlCell>
  <singleXmlCell id="523" xr6:uid="{00000000-000C-0000-FFFF-FFFF64000000}" r="C98" connectionId="0">
    <xmlCellPr id="1" xr6:uid="{00000000-0010-0000-6400-000001000000}" uniqueName="1">
      <xmlPr mapId="43" xpath="/ns1:Root/ns1:M5/ns1:Obligations_P1" xmlDataType="double"/>
    </xmlCellPr>
  </singleXmlCell>
  <singleXmlCell id="524" xr6:uid="{00000000-000C-0000-FFFF-FFFF65000000}" r="D98" connectionId="0">
    <xmlCellPr id="1" xr6:uid="{00000000-0010-0000-6500-000001000000}" uniqueName="1">
      <xmlPr mapId="43" xpath="/ns1:Root/ns1:M5/ns1:Obligations_P2" xmlDataType="double"/>
    </xmlCellPr>
  </singleXmlCell>
  <singleXmlCell id="525" xr6:uid="{00000000-000C-0000-FFFF-FFFF66000000}" r="E98" connectionId="0">
    <xmlCellPr id="1" xr6:uid="{00000000-0010-0000-6600-000001000000}" uniqueName="1">
      <xmlPr mapId="43" xpath="/ns1:Root/ns1:M5/ns1:Obligations_P3" xmlDataType="double"/>
    </xmlCellPr>
  </singleXmlCell>
  <singleXmlCell id="526" xr6:uid="{00000000-000C-0000-FFFF-FFFF67000000}" r="F98" connectionId="0">
    <xmlCellPr id="1" xr6:uid="{00000000-0010-0000-6700-000001000000}" uniqueName="1">
      <xmlPr mapId="43" xpath="/ns1:Root/ns1:M5/ns1:Obligations_P4" xmlDataType="double"/>
    </xmlCellPr>
  </singleXmlCell>
  <singleXmlCell id="527" xr6:uid="{00000000-000C-0000-FFFF-FFFF68000000}" r="G98" connectionId="0">
    <xmlCellPr id="1" xr6:uid="{00000000-0010-0000-6800-000001000000}" uniqueName="1">
      <xmlPr mapId="43" xpath="/ns1:Root/ns1:M5/ns1:Obligations_P5" xmlDataType="double"/>
    </xmlCellPr>
  </singleXmlCell>
  <singleXmlCell id="528" xr6:uid="{00000000-000C-0000-FFFF-FFFF69000000}" r="H98" connectionId="0">
    <xmlCellPr id="1" xr6:uid="{00000000-0010-0000-6900-000001000000}" uniqueName="1">
      <xmlPr mapId="43" xpath="/ns1:Root/ns1:M5/ns1:Obligations_P6" xmlDataType="double"/>
    </xmlCellPr>
  </singleXmlCell>
  <singleXmlCell id="529" xr6:uid="{00000000-000C-0000-FFFF-FFFF6A000000}" r="I98" connectionId="0">
    <xmlCellPr id="1" xr6:uid="{00000000-0010-0000-6A00-000001000000}" uniqueName="1">
      <xmlPr mapId="43" xpath="/ns1:Root/ns1:M5/ns1:Obligations_P7" xmlDataType="double"/>
    </xmlCellPr>
  </singleXmlCell>
  <singleXmlCell id="530" xr6:uid="{00000000-000C-0000-FFFF-FFFF6B000000}" r="J98" connectionId="0">
    <xmlCellPr id="1" xr6:uid="{00000000-0010-0000-6B00-000001000000}" uniqueName="1">
      <xmlPr mapId="43" xpath="/ns1:Root/ns1:M5/ns1:Obligations_P8" xmlDataType="double"/>
    </xmlCellPr>
  </singleXmlCell>
  <singleXmlCell id="531" xr6:uid="{00000000-000C-0000-FFFF-FFFF6C000000}" r="K98" connectionId="0">
    <xmlCellPr id="1" xr6:uid="{00000000-0010-0000-6C00-000001000000}" uniqueName="1">
      <xmlPr mapId="43" xpath="/ns1:Root/ns1:M5/ns1:Obligations_P9" xmlDataType="double"/>
    </xmlCellPr>
  </singleXmlCell>
  <singleXmlCell id="532" xr6:uid="{00000000-000C-0000-FFFF-FFFF6D000000}" r="L98" connectionId="0">
    <xmlCellPr id="1" xr6:uid="{00000000-0010-0000-6D00-000001000000}" uniqueName="1">
      <xmlPr mapId="43" xpath="/ns1:Root/ns1:M5/ns1:Obligations_P10" xmlDataType="double"/>
    </xmlCellPr>
  </singleXmlCell>
  <singleXmlCell id="533" xr6:uid="{00000000-000C-0000-FFFF-FFFF6E000000}" r="M98" connectionId="0">
    <xmlCellPr id="1" xr6:uid="{00000000-0010-0000-6E00-000001000000}" uniqueName="1">
      <xmlPr mapId="43" xpath="/ns1:Root/ns1:M5/ns1:Obligations_P11" xmlDataType="double"/>
    </xmlCellPr>
  </singleXmlCell>
  <singleXmlCell id="534" xr6:uid="{00000000-000C-0000-FFFF-FFFF6F000000}" r="N98" connectionId="0">
    <xmlCellPr id="1" xr6:uid="{00000000-0010-0000-6F00-000001000000}" uniqueName="1">
      <xmlPr mapId="43" xpath="/ns1:Root/ns1:M5/ns1:Obligations_P12" xmlDataType="double"/>
    </xmlCellPr>
  </singleXmlCell>
  <singleXmlCell id="535" xr6:uid="{00000000-000C-0000-FFFF-FFFF70000000}" r="C99" connectionId="0">
    <xmlCellPr id="1" xr6:uid="{00000000-0010-0000-7000-000001000000}" uniqueName="1">
      <xmlPr mapId="43" xpath="/ns1:Root/ns1:M5/ns1:Expenditures_P1" xmlDataType="double"/>
    </xmlCellPr>
  </singleXmlCell>
  <singleXmlCell id="536" xr6:uid="{00000000-000C-0000-FFFF-FFFF71000000}" r="D99" connectionId="0">
    <xmlCellPr id="1" xr6:uid="{00000000-0010-0000-7100-000001000000}" uniqueName="1">
      <xmlPr mapId="43" xpath="/ns1:Root/ns1:M5/ns1:Expenditures_P2" xmlDataType="double"/>
    </xmlCellPr>
  </singleXmlCell>
  <singleXmlCell id="537" xr6:uid="{00000000-000C-0000-FFFF-FFFF72000000}" r="E99" connectionId="0">
    <xmlCellPr id="1" xr6:uid="{00000000-0010-0000-7200-000001000000}" uniqueName="1">
      <xmlPr mapId="43" xpath="/ns1:Root/ns1:M5/ns1:Expenditures_P3" xmlDataType="double"/>
    </xmlCellPr>
  </singleXmlCell>
  <singleXmlCell id="538" xr6:uid="{00000000-000C-0000-FFFF-FFFF73000000}" r="F99" connectionId="0">
    <xmlCellPr id="1" xr6:uid="{00000000-0010-0000-7300-000001000000}" uniqueName="1">
      <xmlPr mapId="43" xpath="/ns1:Root/ns1:M5/ns1:Expenditures_P4" xmlDataType="double"/>
    </xmlCellPr>
  </singleXmlCell>
  <singleXmlCell id="539" xr6:uid="{00000000-000C-0000-FFFF-FFFF74000000}" r="G99" connectionId="0">
    <xmlCellPr id="1" xr6:uid="{00000000-0010-0000-7400-000001000000}" uniqueName="1">
      <xmlPr mapId="43" xpath="/ns1:Root/ns1:M5/ns1:Expenditures_P5" xmlDataType="double"/>
    </xmlCellPr>
  </singleXmlCell>
  <singleXmlCell id="540" xr6:uid="{00000000-000C-0000-FFFF-FFFF75000000}" r="H99" connectionId="0">
    <xmlCellPr id="1" xr6:uid="{00000000-0010-0000-7500-000001000000}" uniqueName="1">
      <xmlPr mapId="43" xpath="/ns1:Root/ns1:M5/ns1:Expenditures_P6" xmlDataType="double"/>
    </xmlCellPr>
  </singleXmlCell>
  <singleXmlCell id="541" xr6:uid="{00000000-000C-0000-FFFF-FFFF76000000}" r="I99" connectionId="0">
    <xmlCellPr id="1" xr6:uid="{00000000-0010-0000-7600-000001000000}" uniqueName="1">
      <xmlPr mapId="43" xpath="/ns1:Root/ns1:M5/ns1:Expenditures_P7" xmlDataType="double"/>
    </xmlCellPr>
  </singleXmlCell>
  <singleXmlCell id="542" xr6:uid="{00000000-000C-0000-FFFF-FFFF77000000}" r="J99" connectionId="0">
    <xmlCellPr id="1" xr6:uid="{00000000-0010-0000-7700-000001000000}" uniqueName="1">
      <xmlPr mapId="43" xpath="/ns1:Root/ns1:M5/ns1:Expenditures_P8" xmlDataType="double"/>
    </xmlCellPr>
  </singleXmlCell>
  <singleXmlCell id="543" xr6:uid="{00000000-000C-0000-FFFF-FFFF78000000}" r="K99" connectionId="0">
    <xmlCellPr id="1" xr6:uid="{00000000-0010-0000-7800-000001000000}" uniqueName="1">
      <xmlPr mapId="43" xpath="/ns1:Root/ns1:M5/ns1:Expenditures_P9" xmlDataType="double"/>
    </xmlCellPr>
  </singleXmlCell>
  <singleXmlCell id="544" xr6:uid="{00000000-000C-0000-FFFF-FFFF79000000}" r="L99" connectionId="0">
    <xmlCellPr id="1" xr6:uid="{00000000-0010-0000-7900-000001000000}" uniqueName="1">
      <xmlPr mapId="43" xpath="/ns1:Root/ns1:M5/ns1:Expenditures_P10" xmlDataType="double"/>
    </xmlCellPr>
  </singleXmlCell>
  <singleXmlCell id="545" xr6:uid="{00000000-000C-0000-FFFF-FFFF7A000000}" r="M99" connectionId="0">
    <xmlCellPr id="1" xr6:uid="{00000000-0010-0000-7A00-000001000000}" uniqueName="1">
      <xmlPr mapId="43" xpath="/ns1:Root/ns1:M5/ns1:Expenditures_P11" xmlDataType="double"/>
    </xmlCellPr>
  </singleXmlCell>
  <singleXmlCell id="546" xr6:uid="{00000000-000C-0000-FFFF-FFFF7B000000}" r="N99" connectionId="0">
    <xmlCellPr id="1" xr6:uid="{00000000-0010-0000-7B00-000001000000}" uniqueName="1">
      <xmlPr mapId="43" xpath="/ns1:Root/ns1:M5/ns1:Expenditures_P12" xmlDataType="double"/>
    </xmlCellPr>
  </singleXmlCell>
  <singleXmlCell id="547" xr6:uid="{00000000-000C-0000-FFFF-FFFF7C000000}" r="C110" connectionId="0">
    <xmlCellPr id="1" xr6:uid="{00000000-0010-0000-7C00-000001000000}" uniqueName="1">
      <xmlPr mapId="43" xpath="/ns1:Root/ns1:M6/ns1:HIV___AIDS_Products" xmlDataType="string"/>
    </xmlCellPr>
  </singleXmlCell>
  <singleXmlCell id="548" xr6:uid="{00000000-000C-0000-FFFF-FFFF7D000000}" r="D110"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10" connectionId="0">
    <xmlCellPr id="1" xr6:uid="{00000000-0010-0000-7E00-000001000000}" uniqueName="1">
      <xmlPr mapId="43" xpath="/ns1:Root/ns1:M6/ns1:HIV___AIDS__3__Total_patients_in_treatment" xmlDataType="double"/>
    </xmlCellPr>
  </singleXmlCell>
  <singleXmlCell id="550" xr6:uid="{00000000-000C-0000-FFFF-FFFF7F000000}" r="H110"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10"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11" connectionId="0">
    <xmlCellPr id="1" xr6:uid="{00000000-0010-0000-8100-000001000000}" uniqueName="1">
      <xmlPr mapId="43" xpath="/ns1:Root/ns1:M6/ns1:_Products_1" xmlDataType="string"/>
    </xmlCellPr>
  </singleXmlCell>
  <singleXmlCell id="553" xr6:uid="{00000000-000C-0000-FFFF-FFFF82000000}" r="D111"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11" connectionId="0">
    <xmlCellPr id="1" xr6:uid="{00000000-0010-0000-8300-000001000000}" uniqueName="1">
      <xmlPr mapId="43" xpath="/ns1:Root/ns1:M6/ns1:__3__Total_patients_in_treatment_1" xmlDataType="double"/>
    </xmlCellPr>
  </singleXmlCell>
  <singleXmlCell id="555" xr6:uid="{00000000-000C-0000-FFFF-FFFF84000000}" r="H111"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11"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12" connectionId="0">
    <xmlCellPr id="1" xr6:uid="{00000000-0010-0000-8600-000001000000}" uniqueName="1">
      <xmlPr mapId="43" xpath="/ns1:Root/ns1:M6/ns1:_Products_2" xmlDataType="string"/>
    </xmlCellPr>
  </singleXmlCell>
  <singleXmlCell id="558" xr6:uid="{00000000-000C-0000-FFFF-FFFF87000000}" r="D112"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12" connectionId="0">
    <xmlCellPr id="1" xr6:uid="{00000000-0010-0000-8800-000001000000}" uniqueName="1">
      <xmlPr mapId="43" xpath="/ns1:Root/ns1:M6/ns1:__3__Total_patients_in_treatment_2" xmlDataType="double"/>
    </xmlCellPr>
  </singleXmlCell>
  <singleXmlCell id="560" xr6:uid="{00000000-000C-0000-FFFF-FFFF89000000}" r="H112"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12"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3" connectionId="0">
    <xmlCellPr id="1" xr6:uid="{00000000-0010-0000-8B00-000001000000}" uniqueName="1">
      <xmlPr mapId="43" xpath="/ns1:Root/ns1:M6/ns1:_Products" xmlDataType="string"/>
    </xmlCellPr>
  </singleXmlCell>
  <singleXmlCell id="563" xr6:uid="{00000000-000C-0000-FFFF-FFFF8C000000}" r="D113"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3" connectionId="0">
    <xmlCellPr id="1" xr6:uid="{00000000-0010-0000-8D00-000001000000}" uniqueName="1">
      <xmlPr mapId="43" xpath="/ns1:Root/ns1:M6/ns1:__3__Total_patients_in_treatment" xmlDataType="double"/>
    </xmlCellPr>
  </singleXmlCell>
  <singleXmlCell id="565" xr6:uid="{00000000-000C-0000-FFFF-FFFF8E000000}" r="H113"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3"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19" connectionId="0">
    <xmlCellPr id="1" xr6:uid="{00000000-0010-0000-9000-000001000000}" uniqueName="1">
      <xmlPr mapId="43" xpath="/ns1:Root/ns1:Prog/ns1:Target_P1_1" xmlDataType="double"/>
    </xmlCellPr>
  </singleXmlCell>
  <singleXmlCell id="568" xr6:uid="{00000000-000C-0000-FFFF-FFFF91000000}" r="I119" connectionId="0">
    <xmlCellPr id="1" xr6:uid="{00000000-0010-0000-9100-000001000000}" uniqueName="1">
      <xmlPr mapId="43" xpath="/ns1:Root/ns1:Prog/ns1:Target_P2_1" xmlDataType="double"/>
    </xmlCellPr>
  </singleXmlCell>
  <singleXmlCell id="569" xr6:uid="{00000000-000C-0000-FFFF-FFFF92000000}" r="J119" connectionId="0">
    <xmlCellPr id="1" xr6:uid="{00000000-0010-0000-9200-000001000000}" uniqueName="1">
      <xmlPr mapId="43" xpath="/ns1:Root/ns1:Prog/ns1:Target_P3_1" xmlDataType="double"/>
    </xmlCellPr>
  </singleXmlCell>
  <singleXmlCell id="570" xr6:uid="{00000000-000C-0000-FFFF-FFFF93000000}" r="K119" connectionId="0">
    <xmlCellPr id="1" xr6:uid="{00000000-0010-0000-9300-000001000000}" uniqueName="1">
      <xmlPr mapId="43" xpath="/ns1:Root/ns1:Prog/ns1:Target_P4_1" xmlDataType="double"/>
    </xmlCellPr>
  </singleXmlCell>
  <singleXmlCell id="571" xr6:uid="{00000000-000C-0000-FFFF-FFFF94000000}" r="L119" connectionId="0">
    <xmlCellPr id="1" xr6:uid="{00000000-0010-0000-9400-000001000000}" uniqueName="1">
      <xmlPr mapId="43" xpath="/ns1:Root/ns1:Prog/ns1:Target_P5_1" xmlDataType="double"/>
    </xmlCellPr>
  </singleXmlCell>
  <singleXmlCell id="572" xr6:uid="{00000000-000C-0000-FFFF-FFFF95000000}" r="M119" connectionId="0">
    <xmlCellPr id="1" xr6:uid="{00000000-0010-0000-9500-000001000000}" uniqueName="1">
      <xmlPr mapId="43" xpath="/ns1:Root/ns1:Prog/ns1:Target_P6_1" xmlDataType="double"/>
    </xmlCellPr>
  </singleXmlCell>
  <singleXmlCell id="573" xr6:uid="{00000000-000C-0000-FFFF-FFFF96000000}" r="N119" connectionId="0">
    <xmlCellPr id="1" xr6:uid="{00000000-0010-0000-9600-000001000000}" uniqueName="1">
      <xmlPr mapId="43" xpath="/ns1:Root/ns1:Prog/ns1:Target_P7_1" xmlDataType="double"/>
    </xmlCellPr>
  </singleXmlCell>
  <singleXmlCell id="574" xr6:uid="{00000000-000C-0000-FFFF-FFFF97000000}" r="O119" connectionId="0">
    <xmlCellPr id="1" xr6:uid="{00000000-0010-0000-9700-000001000000}" uniqueName="1">
      <xmlPr mapId="43" xpath="/ns1:Root/ns1:Prog/ns1:Target_P8_1" xmlDataType="double"/>
    </xmlCellPr>
  </singleXmlCell>
  <singleXmlCell id="575" xr6:uid="{00000000-000C-0000-FFFF-FFFF98000000}" r="P119" connectionId="0">
    <xmlCellPr id="1" xr6:uid="{00000000-0010-0000-9800-000001000000}" uniqueName="1">
      <xmlPr mapId="43" xpath="/ns1:Root/ns1:Prog/ns1:Target_P9_1" xmlDataType="double"/>
    </xmlCellPr>
  </singleXmlCell>
  <singleXmlCell id="576" xr6:uid="{00000000-000C-0000-FFFF-FFFF99000000}" r="Q119" connectionId="0">
    <xmlCellPr id="1" xr6:uid="{00000000-0010-0000-9900-000001000000}" uniqueName="1">
      <xmlPr mapId="43" xpath="/ns1:Root/ns1:Prog/ns1:Target_P10_1" xmlDataType="double"/>
    </xmlCellPr>
  </singleXmlCell>
  <singleXmlCell id="577" xr6:uid="{00000000-000C-0000-FFFF-FFFF9A000000}" r="R119" connectionId="0">
    <xmlCellPr id="1" xr6:uid="{00000000-0010-0000-9A00-000001000000}" uniqueName="1">
      <xmlPr mapId="43" xpath="/ns1:Root/ns1:Prog/ns1:Target_P11_1" xmlDataType="double"/>
    </xmlCellPr>
  </singleXmlCell>
  <singleXmlCell id="578" xr6:uid="{00000000-000C-0000-FFFF-FFFF9B000000}" r="S119" connectionId="0">
    <xmlCellPr id="1" xr6:uid="{00000000-0010-0000-9B00-000001000000}" uniqueName="1">
      <xmlPr mapId="43" xpath="/ns1:Root/ns1:Prog/ns1:Target_P12_1" xmlDataType="double"/>
    </xmlCellPr>
  </singleXmlCell>
  <singleXmlCell id="579" xr6:uid="{00000000-000C-0000-FFFF-FFFF9C000000}" r="H120" connectionId="0">
    <xmlCellPr id="1" xr6:uid="{00000000-0010-0000-9C00-000001000000}" uniqueName="1">
      <xmlPr mapId="43" xpath="/ns1:Root/ns1:Prog/ns1:Achieved__P1_1" xmlDataType="double"/>
    </xmlCellPr>
  </singleXmlCell>
  <singleXmlCell id="580" xr6:uid="{00000000-000C-0000-FFFF-FFFF9D000000}" r="I120" connectionId="0">
    <xmlCellPr id="1" xr6:uid="{00000000-0010-0000-9D00-000001000000}" uniqueName="1">
      <xmlPr mapId="43" xpath="/ns1:Root/ns1:Prog/ns1:Achieved__P2_1" xmlDataType="double"/>
    </xmlCellPr>
  </singleXmlCell>
  <singleXmlCell id="581" xr6:uid="{00000000-000C-0000-FFFF-FFFF9E000000}" r="J120" connectionId="0">
    <xmlCellPr id="1" xr6:uid="{00000000-0010-0000-9E00-000001000000}" uniqueName="1">
      <xmlPr mapId="43" xpath="/ns1:Root/ns1:Prog/ns1:Achieved__P3_1" xmlDataType="double"/>
    </xmlCellPr>
  </singleXmlCell>
  <singleXmlCell id="582" xr6:uid="{00000000-000C-0000-FFFF-FFFF9F000000}" r="K120" connectionId="0">
    <xmlCellPr id="1" xr6:uid="{00000000-0010-0000-9F00-000001000000}" uniqueName="1">
      <xmlPr mapId="43" xpath="/ns1:Root/ns1:Prog/ns1:Achieved__P4_1" xmlDataType="double"/>
    </xmlCellPr>
  </singleXmlCell>
  <singleXmlCell id="583" xr6:uid="{00000000-000C-0000-FFFF-FFFFA0000000}" r="L120" connectionId="0">
    <xmlCellPr id="1" xr6:uid="{00000000-0010-0000-A000-000001000000}" uniqueName="1">
      <xmlPr mapId="43" xpath="/ns1:Root/ns1:Prog/ns1:Achieved__P5_1" xmlDataType="string"/>
    </xmlCellPr>
  </singleXmlCell>
  <singleXmlCell id="584" xr6:uid="{00000000-000C-0000-FFFF-FFFFA1000000}" r="M120" connectionId="0">
    <xmlCellPr id="1" xr6:uid="{00000000-0010-0000-A100-000001000000}" uniqueName="1">
      <xmlPr mapId="43" xpath="/ns1:Root/ns1:Prog/ns1:Achieved__P6_1" xmlDataType="string"/>
    </xmlCellPr>
  </singleXmlCell>
  <singleXmlCell id="585" xr6:uid="{00000000-000C-0000-FFFF-FFFFA2000000}" r="N120" connectionId="0">
    <xmlCellPr id="1" xr6:uid="{00000000-0010-0000-A200-000001000000}" uniqueName="1">
      <xmlPr mapId="43" xpath="/ns1:Root/ns1:Prog/ns1:Achieved__P7_1" xmlDataType="string"/>
    </xmlCellPr>
  </singleXmlCell>
  <singleXmlCell id="586" xr6:uid="{00000000-000C-0000-FFFF-FFFFA3000000}" r="O120" connectionId="0">
    <xmlCellPr id="1" xr6:uid="{00000000-0010-0000-A300-000001000000}" uniqueName="1">
      <xmlPr mapId="43" xpath="/ns1:Root/ns1:Prog/ns1:Achieved__P8_1" xmlDataType="string"/>
    </xmlCellPr>
  </singleXmlCell>
  <singleXmlCell id="587" xr6:uid="{00000000-000C-0000-FFFF-FFFFA4000000}" r="P120" connectionId="0">
    <xmlCellPr id="1" xr6:uid="{00000000-0010-0000-A400-000001000000}" uniqueName="1">
      <xmlPr mapId="43" xpath="/ns1:Root/ns1:Prog/ns1:Achieved__P9_1" xmlDataType="string"/>
    </xmlCellPr>
  </singleXmlCell>
  <singleXmlCell id="588" xr6:uid="{00000000-000C-0000-FFFF-FFFFA5000000}" r="Q120" connectionId="0">
    <xmlCellPr id="1" xr6:uid="{00000000-0010-0000-A500-000001000000}" uniqueName="1">
      <xmlPr mapId="43" xpath="/ns1:Root/ns1:Prog/ns1:Achieved__P10_1" xmlDataType="string"/>
    </xmlCellPr>
  </singleXmlCell>
  <singleXmlCell id="589" xr6:uid="{00000000-000C-0000-FFFF-FFFFA6000000}" r="R120" connectionId="0">
    <xmlCellPr id="1" xr6:uid="{00000000-0010-0000-A600-000001000000}" uniqueName="1">
      <xmlPr mapId="43" xpath="/ns1:Root/ns1:Prog/ns1:Achieved__P11_1" xmlDataType="string"/>
    </xmlCellPr>
  </singleXmlCell>
  <singleXmlCell id="590" xr6:uid="{00000000-000C-0000-FFFF-FFFFA7000000}" r="S120" connectionId="0">
    <xmlCellPr id="1" xr6:uid="{00000000-0010-0000-A700-000001000000}" uniqueName="1">
      <xmlPr mapId="43" xpath="/ns1:Root/ns1:Prog/ns1:Achieved__P12_1" xmlDataType="string"/>
    </xmlCellPr>
  </singleXmlCell>
  <singleXmlCell id="599" xr6:uid="{00000000-000C-0000-FFFF-FFFFA8000000}" r="Q121" connectionId="0">
    <xmlCellPr id="1" xr6:uid="{00000000-0010-0000-A800-000001000000}" uniqueName="1">
      <xmlPr mapId="43" xpath="/ns1:Root/ns1:Prog/ns1:Target_P10_2" xmlDataType="double"/>
    </xmlCellPr>
  </singleXmlCell>
  <singleXmlCell id="600" xr6:uid="{00000000-000C-0000-FFFF-FFFFA9000000}" r="R121" connectionId="0">
    <xmlCellPr id="1" xr6:uid="{00000000-0010-0000-A900-000001000000}" uniqueName="1">
      <xmlPr mapId="43" xpath="/ns1:Root/ns1:Prog/ns1:Target_P11_2" xmlDataType="double"/>
    </xmlCellPr>
  </singleXmlCell>
  <singleXmlCell id="601" xr6:uid="{00000000-000C-0000-FFFF-FFFFAA000000}" r="S121" connectionId="0">
    <xmlCellPr id="1" xr6:uid="{00000000-0010-0000-AA00-000001000000}" uniqueName="1">
      <xmlPr mapId="43" xpath="/ns1:Root/ns1:Prog/ns1:Target_P12_2" xmlDataType="double"/>
    </xmlCellPr>
  </singleXmlCell>
  <singleXmlCell id="611" xr6:uid="{00000000-000C-0000-FFFF-FFFFAB000000}" r="Q122" connectionId="0">
    <xmlCellPr id="1" xr6:uid="{00000000-0010-0000-AB00-000001000000}" uniqueName="1">
      <xmlPr mapId="43" xpath="/ns1:Root/ns1:Prog/ns1:Achieved__P10_2" xmlDataType="string"/>
    </xmlCellPr>
  </singleXmlCell>
  <singleXmlCell id="612" xr6:uid="{00000000-000C-0000-FFFF-FFFFAC000000}" r="R122" connectionId="0">
    <xmlCellPr id="1" xr6:uid="{00000000-0010-0000-AC00-000001000000}" uniqueName="1">
      <xmlPr mapId="43" xpath="/ns1:Root/ns1:Prog/ns1:Achieved__P11_2" xmlDataType="string"/>
    </xmlCellPr>
  </singleXmlCell>
  <singleXmlCell id="613" xr6:uid="{00000000-000C-0000-FFFF-FFFFAD000000}" r="S122" connectionId="0">
    <xmlCellPr id="1" xr6:uid="{00000000-0010-0000-AD00-000001000000}" uniqueName="1">
      <xmlPr mapId="43" xpath="/ns1:Root/ns1:Prog/ns1:Achieved__P12_2" xmlDataType="string"/>
    </xmlCellPr>
  </singleXmlCell>
  <singleXmlCell id="662" xr6:uid="{00000000-000C-0000-FFFF-FFFFAE000000}" r="H125" connectionId="0">
    <xmlCellPr id="1" xr6:uid="{00000000-0010-0000-AE00-000001000000}" uniqueName="1">
      <xmlPr mapId="43" xpath="/ns1:Root/ns1:Prog/ns1:Target_P1_5" xmlDataType="double"/>
    </xmlCellPr>
  </singleXmlCell>
  <singleXmlCell id="663" xr6:uid="{00000000-000C-0000-FFFF-FFFFAF000000}" r="I125" connectionId="0">
    <xmlCellPr id="1" xr6:uid="{00000000-0010-0000-AF00-000001000000}" uniqueName="1">
      <xmlPr mapId="43" xpath="/ns1:Root/ns1:Prog/ns1:Target_P2_5" xmlDataType="double"/>
    </xmlCellPr>
  </singleXmlCell>
  <singleXmlCell id="664" xr6:uid="{00000000-000C-0000-FFFF-FFFFB0000000}" r="J125" connectionId="0">
    <xmlCellPr id="1" xr6:uid="{00000000-0010-0000-B000-000001000000}" uniqueName="1">
      <xmlPr mapId="43" xpath="/ns1:Root/ns1:Prog/ns1:Target_P3_5" xmlDataType="double"/>
    </xmlCellPr>
  </singleXmlCell>
  <singleXmlCell id="665" xr6:uid="{00000000-000C-0000-FFFF-FFFFB1000000}" r="K125" connectionId="0">
    <xmlCellPr id="1" xr6:uid="{00000000-0010-0000-B100-000001000000}" uniqueName="1">
      <xmlPr mapId="43" xpath="/ns1:Root/ns1:Prog/ns1:Target_P4_5" xmlDataType="double"/>
    </xmlCellPr>
  </singleXmlCell>
  <singleXmlCell id="666" xr6:uid="{00000000-000C-0000-FFFF-FFFFB2000000}" r="L125" connectionId="0">
    <xmlCellPr id="1" xr6:uid="{00000000-0010-0000-B200-000001000000}" uniqueName="1">
      <xmlPr mapId="43" xpath="/ns1:Root/ns1:Prog/ns1:Target_P5_5" xmlDataType="double"/>
    </xmlCellPr>
  </singleXmlCell>
  <singleXmlCell id="667" xr6:uid="{00000000-000C-0000-FFFF-FFFFB3000000}" r="M125" connectionId="0">
    <xmlCellPr id="1" xr6:uid="{00000000-0010-0000-B300-000001000000}" uniqueName="1">
      <xmlPr mapId="43" xpath="/ns1:Root/ns1:Prog/ns1:Target_P6_5" xmlDataType="double"/>
    </xmlCellPr>
  </singleXmlCell>
  <singleXmlCell id="668" xr6:uid="{00000000-000C-0000-FFFF-FFFFB4000000}" r="N125" connectionId="0">
    <xmlCellPr id="1" xr6:uid="{00000000-0010-0000-B400-000001000000}" uniqueName="1">
      <xmlPr mapId="43" xpath="/ns1:Root/ns1:Prog/ns1:Target_P7_5" xmlDataType="double"/>
    </xmlCellPr>
  </singleXmlCell>
  <singleXmlCell id="669" xr6:uid="{00000000-000C-0000-FFFF-FFFFB5000000}" r="O125" connectionId="0">
    <xmlCellPr id="1" xr6:uid="{00000000-0010-0000-B500-000001000000}" uniqueName="1">
      <xmlPr mapId="43" xpath="/ns1:Root/ns1:Prog/ns1:Target_P8_5" xmlDataType="double"/>
    </xmlCellPr>
  </singleXmlCell>
  <singleXmlCell id="670" xr6:uid="{00000000-000C-0000-FFFF-FFFFB6000000}" r="P125" connectionId="0">
    <xmlCellPr id="1" xr6:uid="{00000000-0010-0000-B600-000001000000}" uniqueName="1">
      <xmlPr mapId="43" xpath="/ns1:Root/ns1:Prog/ns1:Target_P9_5" xmlDataType="double"/>
    </xmlCellPr>
  </singleXmlCell>
  <singleXmlCell id="671" xr6:uid="{00000000-000C-0000-FFFF-FFFFB7000000}" r="Q125" connectionId="0">
    <xmlCellPr id="1" xr6:uid="{00000000-0010-0000-B700-000001000000}" uniqueName="1">
      <xmlPr mapId="43" xpath="/ns1:Root/ns1:Prog/ns1:Target_P10_5" xmlDataType="double"/>
    </xmlCellPr>
  </singleXmlCell>
  <singleXmlCell id="672" xr6:uid="{00000000-000C-0000-FFFF-FFFFB8000000}" r="R125" connectionId="0">
    <xmlCellPr id="1" xr6:uid="{00000000-0010-0000-B800-000001000000}" uniqueName="1">
      <xmlPr mapId="43" xpath="/ns1:Root/ns1:Prog/ns1:Target_P11_5" xmlDataType="double"/>
    </xmlCellPr>
  </singleXmlCell>
  <singleXmlCell id="673" xr6:uid="{00000000-000C-0000-FFFF-FFFFB9000000}" r="S125" connectionId="0">
    <xmlCellPr id="1" xr6:uid="{00000000-0010-0000-B900-000001000000}" uniqueName="1">
      <xmlPr mapId="43" xpath="/ns1:Root/ns1:Prog/ns1:Target_P12_5" xmlDataType="double"/>
    </xmlCellPr>
  </singleXmlCell>
  <singleXmlCell id="674" xr6:uid="{00000000-000C-0000-FFFF-FFFFBA000000}" r="H126" connectionId="0">
    <xmlCellPr id="1" xr6:uid="{00000000-0010-0000-BA00-000001000000}" uniqueName="1">
      <xmlPr mapId="43" xpath="/ns1:Root/ns1:Prog/ns1:Achieved__P1_5" xmlDataType="double"/>
    </xmlCellPr>
  </singleXmlCell>
  <singleXmlCell id="675" xr6:uid="{00000000-000C-0000-FFFF-FFFFBB000000}" r="I126" connectionId="0">
    <xmlCellPr id="1" xr6:uid="{00000000-0010-0000-BB00-000001000000}" uniqueName="1">
      <xmlPr mapId="43" xpath="/ns1:Root/ns1:Prog/ns1:Achieved__P2_5" xmlDataType="double"/>
    </xmlCellPr>
  </singleXmlCell>
  <singleXmlCell id="676" xr6:uid="{00000000-000C-0000-FFFF-FFFFBC000000}" r="J126" connectionId="0">
    <xmlCellPr id="1" xr6:uid="{00000000-0010-0000-BC00-000001000000}" uniqueName="1">
      <xmlPr mapId="43" xpath="/ns1:Root/ns1:Prog/ns1:Achieved__P3_5" xmlDataType="double"/>
    </xmlCellPr>
  </singleXmlCell>
  <singleXmlCell id="677" xr6:uid="{00000000-000C-0000-FFFF-FFFFBD000000}" r="K126" connectionId="0">
    <xmlCellPr id="1" xr6:uid="{00000000-0010-0000-BD00-000001000000}" uniqueName="1">
      <xmlPr mapId="43" xpath="/ns1:Root/ns1:Prog/ns1:Achieved__P4_5" xmlDataType="double"/>
    </xmlCellPr>
  </singleXmlCell>
  <singleXmlCell id="678" xr6:uid="{00000000-000C-0000-FFFF-FFFFBE000000}" r="L126" connectionId="0">
    <xmlCellPr id="1" xr6:uid="{00000000-0010-0000-BE00-000001000000}" uniqueName="1">
      <xmlPr mapId="43" xpath="/ns1:Root/ns1:Prog/ns1:Achieved__P5_5" xmlDataType="string"/>
    </xmlCellPr>
  </singleXmlCell>
  <singleXmlCell id="679" xr6:uid="{00000000-000C-0000-FFFF-FFFFBF000000}" r="M126" connectionId="0">
    <xmlCellPr id="1" xr6:uid="{00000000-0010-0000-BF00-000001000000}" uniqueName="1">
      <xmlPr mapId="43" xpath="/ns1:Root/ns1:Prog/ns1:Achieved__P6_5" xmlDataType="string"/>
    </xmlCellPr>
  </singleXmlCell>
  <singleXmlCell id="680" xr6:uid="{00000000-000C-0000-FFFF-FFFFC0000000}" r="N126" connectionId="0">
    <xmlCellPr id="1" xr6:uid="{00000000-0010-0000-C000-000001000000}" uniqueName="1">
      <xmlPr mapId="43" xpath="/ns1:Root/ns1:Prog/ns1:Achieved__P7_5" xmlDataType="string"/>
    </xmlCellPr>
  </singleXmlCell>
  <singleXmlCell id="681" xr6:uid="{00000000-000C-0000-FFFF-FFFFC1000000}" r="O126" connectionId="0">
    <xmlCellPr id="1" xr6:uid="{00000000-0010-0000-C100-000001000000}" uniqueName="1">
      <xmlPr mapId="43" xpath="/ns1:Root/ns1:Prog/ns1:Achieved__P8_5" xmlDataType="string"/>
    </xmlCellPr>
  </singleXmlCell>
  <singleXmlCell id="682" xr6:uid="{00000000-000C-0000-FFFF-FFFFC2000000}" r="P126" connectionId="0">
    <xmlCellPr id="1" xr6:uid="{00000000-0010-0000-C200-000001000000}" uniqueName="1">
      <xmlPr mapId="43" xpath="/ns1:Root/ns1:Prog/ns1:Achieved__P9_5" xmlDataType="string"/>
    </xmlCellPr>
  </singleXmlCell>
  <singleXmlCell id="683" xr6:uid="{00000000-000C-0000-FFFF-FFFFC3000000}" r="Q126" connectionId="0">
    <xmlCellPr id="1" xr6:uid="{00000000-0010-0000-C300-000001000000}" uniqueName="1">
      <xmlPr mapId="43" xpath="/ns1:Root/ns1:Prog/ns1:Achieved__P10_5" xmlDataType="string"/>
    </xmlCellPr>
  </singleXmlCell>
  <singleXmlCell id="684" xr6:uid="{00000000-000C-0000-FFFF-FFFFC4000000}" r="R126" connectionId="0">
    <xmlCellPr id="1" xr6:uid="{00000000-0010-0000-C400-000001000000}" uniqueName="1">
      <xmlPr mapId="43" xpath="/ns1:Root/ns1:Prog/ns1:Achieved__P11_5" xmlDataType="string"/>
    </xmlCellPr>
  </singleXmlCell>
  <singleXmlCell id="685" xr6:uid="{00000000-000C-0000-FFFF-FFFFC5000000}" r="S126" connectionId="0">
    <xmlCellPr id="1" xr6:uid="{00000000-0010-0000-C500-000001000000}" uniqueName="1">
      <xmlPr mapId="43" xpath="/ns1:Root/ns1:Prog/ns1:Achieved__P12_5" xmlDataType="string"/>
    </xmlCellPr>
  </singleXmlCell>
  <singleXmlCell id="686" xr6:uid="{00000000-000C-0000-FFFF-FFFFC6000000}" r="H127" connectionId="0">
    <xmlCellPr id="1" xr6:uid="{00000000-0010-0000-C600-000001000000}" uniqueName="1">
      <xmlPr mapId="43" xpath="/ns1:Root/ns1:Prog/ns1:Target_P1_6" xmlDataType="double"/>
    </xmlCellPr>
  </singleXmlCell>
  <singleXmlCell id="687" xr6:uid="{00000000-000C-0000-FFFF-FFFFC7000000}" r="I127" connectionId="0">
    <xmlCellPr id="1" xr6:uid="{00000000-0010-0000-C700-000001000000}" uniqueName="1">
      <xmlPr mapId="43" xpath="/ns1:Root/ns1:Prog/ns1:Target_P2_6" xmlDataType="double"/>
    </xmlCellPr>
  </singleXmlCell>
  <singleXmlCell id="688" xr6:uid="{00000000-000C-0000-FFFF-FFFFC8000000}" r="J127" connectionId="0">
    <xmlCellPr id="1" xr6:uid="{00000000-0010-0000-C800-000001000000}" uniqueName="1">
      <xmlPr mapId="43" xpath="/ns1:Root/ns1:Prog/ns1:Target_P3_6" xmlDataType="double"/>
    </xmlCellPr>
  </singleXmlCell>
  <singleXmlCell id="689" xr6:uid="{00000000-000C-0000-FFFF-FFFFC9000000}" r="K127" connectionId="0">
    <xmlCellPr id="1" xr6:uid="{00000000-0010-0000-C900-000001000000}" uniqueName="1">
      <xmlPr mapId="43" xpath="/ns1:Root/ns1:Prog/ns1:Target_P4_6" xmlDataType="double"/>
    </xmlCellPr>
  </singleXmlCell>
  <singleXmlCell id="690" xr6:uid="{00000000-000C-0000-FFFF-FFFFCA000000}" r="L127" connectionId="0">
    <xmlCellPr id="1" xr6:uid="{00000000-0010-0000-CA00-000001000000}" uniqueName="1">
      <xmlPr mapId="43" xpath="/ns1:Root/ns1:Prog/ns1:Target_P5_6" xmlDataType="double"/>
    </xmlCellPr>
  </singleXmlCell>
  <singleXmlCell id="691" xr6:uid="{00000000-000C-0000-FFFF-FFFFCB000000}" r="M127" connectionId="0">
    <xmlCellPr id="1" xr6:uid="{00000000-0010-0000-CB00-000001000000}" uniqueName="1">
      <xmlPr mapId="43" xpath="/ns1:Root/ns1:Prog/ns1:Target_P6_6" xmlDataType="double"/>
    </xmlCellPr>
  </singleXmlCell>
  <singleXmlCell id="692" xr6:uid="{00000000-000C-0000-FFFF-FFFFCC000000}" r="N127" connectionId="0">
    <xmlCellPr id="1" xr6:uid="{00000000-0010-0000-CC00-000001000000}" uniqueName="1">
      <xmlPr mapId="43" xpath="/ns1:Root/ns1:Prog/ns1:Target_P7_6" xmlDataType="double"/>
    </xmlCellPr>
  </singleXmlCell>
  <singleXmlCell id="693" xr6:uid="{00000000-000C-0000-FFFF-FFFFCD000000}" r="O127" connectionId="0">
    <xmlCellPr id="1" xr6:uid="{00000000-0010-0000-CD00-000001000000}" uniqueName="1">
      <xmlPr mapId="43" xpath="/ns1:Root/ns1:Prog/ns1:Target_P8_6" xmlDataType="double"/>
    </xmlCellPr>
  </singleXmlCell>
  <singleXmlCell id="694" xr6:uid="{00000000-000C-0000-FFFF-FFFFCE000000}" r="P127" connectionId="0">
    <xmlCellPr id="1" xr6:uid="{00000000-0010-0000-CE00-000001000000}" uniqueName="1">
      <xmlPr mapId="43" xpath="/ns1:Root/ns1:Prog/ns1:Target_P9_6" xmlDataType="double"/>
    </xmlCellPr>
  </singleXmlCell>
  <singleXmlCell id="695" xr6:uid="{00000000-000C-0000-FFFF-FFFFCF000000}" r="Q127" connectionId="0">
    <xmlCellPr id="1" xr6:uid="{00000000-0010-0000-CF00-000001000000}" uniqueName="1">
      <xmlPr mapId="43" xpath="/ns1:Root/ns1:Prog/ns1:Target_P10_6" xmlDataType="double"/>
    </xmlCellPr>
  </singleXmlCell>
  <singleXmlCell id="696" xr6:uid="{00000000-000C-0000-FFFF-FFFFD0000000}" r="R127" connectionId="0">
    <xmlCellPr id="1" xr6:uid="{00000000-0010-0000-D000-000001000000}" uniqueName="1">
      <xmlPr mapId="43" xpath="/ns1:Root/ns1:Prog/ns1:Target_P11_6" xmlDataType="double"/>
    </xmlCellPr>
  </singleXmlCell>
  <singleXmlCell id="697" xr6:uid="{00000000-000C-0000-FFFF-FFFFD1000000}" r="S127" connectionId="0">
    <xmlCellPr id="1" xr6:uid="{00000000-0010-0000-D100-000001000000}" uniqueName="1">
      <xmlPr mapId="43" xpath="/ns1:Root/ns1:Prog/ns1:Target_P12_6" xmlDataType="double"/>
    </xmlCellPr>
  </singleXmlCell>
  <singleXmlCell id="698" xr6:uid="{00000000-000C-0000-FFFF-FFFFD2000000}" r="H128" connectionId="0">
    <xmlCellPr id="1" xr6:uid="{00000000-0010-0000-D200-000001000000}" uniqueName="1">
      <xmlPr mapId="43" xpath="/ns1:Root/ns1:Prog/ns1:Achieved__P1_6" xmlDataType="double"/>
    </xmlCellPr>
  </singleXmlCell>
  <singleXmlCell id="699" xr6:uid="{00000000-000C-0000-FFFF-FFFFD3000000}" r="I128" connectionId="0">
    <xmlCellPr id="1" xr6:uid="{00000000-0010-0000-D300-000001000000}" uniqueName="1">
      <xmlPr mapId="43" xpath="/ns1:Root/ns1:Prog/ns1:Achieved__P2_6" xmlDataType="double"/>
    </xmlCellPr>
  </singleXmlCell>
  <singleXmlCell id="700" xr6:uid="{00000000-000C-0000-FFFF-FFFFD4000000}" r="J128" connectionId="0">
    <xmlCellPr id="1" xr6:uid="{00000000-0010-0000-D400-000001000000}" uniqueName="1">
      <xmlPr mapId="43" xpath="/ns1:Root/ns1:Prog/ns1:Achieved__P3_6" xmlDataType="double"/>
    </xmlCellPr>
  </singleXmlCell>
  <singleXmlCell id="701" xr6:uid="{00000000-000C-0000-FFFF-FFFFD5000000}" r="K128" connectionId="0">
    <xmlCellPr id="1" xr6:uid="{00000000-0010-0000-D500-000001000000}" uniqueName="1">
      <xmlPr mapId="43" xpath="/ns1:Root/ns1:Prog/ns1:Achieved__P4_6" xmlDataType="double"/>
    </xmlCellPr>
  </singleXmlCell>
  <singleXmlCell id="702" xr6:uid="{00000000-000C-0000-FFFF-FFFFD6000000}" r="L128" connectionId="0">
    <xmlCellPr id="1" xr6:uid="{00000000-0010-0000-D600-000001000000}" uniqueName="1">
      <xmlPr mapId="43" xpath="/ns1:Root/ns1:Prog/ns1:Achieved__P5_6" xmlDataType="string"/>
    </xmlCellPr>
  </singleXmlCell>
  <singleXmlCell id="703" xr6:uid="{00000000-000C-0000-FFFF-FFFFD7000000}" r="M128" connectionId="0">
    <xmlCellPr id="1" xr6:uid="{00000000-0010-0000-D700-000001000000}" uniqueName="1">
      <xmlPr mapId="43" xpath="/ns1:Root/ns1:Prog/ns1:Achieved__P6_6" xmlDataType="string"/>
    </xmlCellPr>
  </singleXmlCell>
  <singleXmlCell id="704" xr6:uid="{00000000-000C-0000-FFFF-FFFFD8000000}" r="N128" connectionId="0">
    <xmlCellPr id="1" xr6:uid="{00000000-0010-0000-D800-000001000000}" uniqueName="1">
      <xmlPr mapId="43" xpath="/ns1:Root/ns1:Prog/ns1:Achieved__P7_6" xmlDataType="string"/>
    </xmlCellPr>
  </singleXmlCell>
  <singleXmlCell id="705" xr6:uid="{00000000-000C-0000-FFFF-FFFFD9000000}" r="O128" connectionId="0">
    <xmlCellPr id="1" xr6:uid="{00000000-0010-0000-D900-000001000000}" uniqueName="1">
      <xmlPr mapId="43" xpath="/ns1:Root/ns1:Prog/ns1:Achieved__P8_6" xmlDataType="string"/>
    </xmlCellPr>
  </singleXmlCell>
  <singleXmlCell id="706" xr6:uid="{00000000-000C-0000-FFFF-FFFFDA000000}" r="P128" connectionId="0">
    <xmlCellPr id="1" xr6:uid="{00000000-0010-0000-DA00-000001000000}" uniqueName="1">
      <xmlPr mapId="43" xpath="/ns1:Root/ns1:Prog/ns1:Achieved__P9_6" xmlDataType="string"/>
    </xmlCellPr>
  </singleXmlCell>
  <singleXmlCell id="707" xr6:uid="{00000000-000C-0000-FFFF-FFFFDB000000}" r="Q128" connectionId="0">
    <xmlCellPr id="1" xr6:uid="{00000000-0010-0000-DB00-000001000000}" uniqueName="1">
      <xmlPr mapId="43" xpath="/ns1:Root/ns1:Prog/ns1:Achieved__P10_6" xmlDataType="string"/>
    </xmlCellPr>
  </singleXmlCell>
  <singleXmlCell id="708" xr6:uid="{00000000-000C-0000-FFFF-FFFFDC000000}" r="R128" connectionId="0">
    <xmlCellPr id="1" xr6:uid="{00000000-0010-0000-DC00-000001000000}" uniqueName="1">
      <xmlPr mapId="43" xpath="/ns1:Root/ns1:Prog/ns1:Achieved__P11_6" xmlDataType="string"/>
    </xmlCellPr>
  </singleXmlCell>
  <singleXmlCell id="709" xr6:uid="{00000000-000C-0000-FFFF-FFFFDD000000}" r="S128" connectionId="0">
    <xmlCellPr id="1" xr6:uid="{00000000-0010-0000-DD00-000001000000}" uniqueName="1">
      <xmlPr mapId="43" xpath="/ns1:Root/ns1:Prog/ns1:Achieved__P12_6" xmlDataType="string"/>
    </xmlCellPr>
  </singleXmlCell>
  <singleXmlCell id="808" xr6:uid="{00000000-000C-0000-FFFF-FFFFDE000000}" r="E119" connectionId="0">
    <xmlCellPr id="1" xr6:uid="{00000000-0010-0000-DE00-000001000000}" uniqueName="1">
      <xmlPr mapId="43" xpath="/ns1:Root/ns1:P1_Code" xmlDataType="double"/>
    </xmlCellPr>
  </singleXmlCell>
  <singleXmlCell id="810" xr6:uid="{00000000-000C-0000-FFFF-FFFFDF000000}" r="B121" connectionId="0">
    <xmlCellPr id="1" xr6:uid="{00000000-0010-0000-DF00-000001000000}" uniqueName="1">
      <xmlPr mapId="43" xpath="/ns1:Root/ns1:P2" xmlDataType="string"/>
    </xmlCellPr>
  </singleXmlCell>
  <singleXmlCell id="811" xr6:uid="{00000000-000C-0000-FFFF-FFFFE0000000}" r="E121" connectionId="0">
    <xmlCellPr id="1" xr6:uid="{00000000-0010-0000-E000-000001000000}" uniqueName="1">
      <xmlPr mapId="43" xpath="/ns1:Root/ns1:P2_Code" xmlDataType="double"/>
    </xmlCellPr>
  </singleXmlCell>
  <singleXmlCell id="812" xr6:uid="{00000000-000C-0000-FFFF-FFFFE1000000}" r="F121" connectionId="0">
    <xmlCellPr id="1" xr6:uid="{00000000-0010-0000-E100-000001000000}" uniqueName="1">
      <xmlPr mapId="43" xpath="/ns1:Root/ns1:P2_Tied" xmlDataType="string"/>
    </xmlCellPr>
  </singleXmlCell>
  <singleXmlCell id="819" xr6:uid="{00000000-000C-0000-FFFF-FFFFE2000000}" r="B125" connectionId="0">
    <xmlCellPr id="1" xr6:uid="{00000000-0010-0000-E200-000001000000}" uniqueName="1">
      <xmlPr mapId="43" xpath="/ns1:Root/ns1:P5" xmlDataType="string"/>
    </xmlCellPr>
  </singleXmlCell>
  <singleXmlCell id="820" xr6:uid="{00000000-000C-0000-FFFF-FFFFE3000000}" r="E125" connectionId="0">
    <xmlCellPr id="1" xr6:uid="{00000000-0010-0000-E300-000001000000}" uniqueName="1">
      <xmlPr mapId="43" xpath="/ns1:Root/ns1:P5_Code" xmlDataType="double"/>
    </xmlCellPr>
  </singleXmlCell>
  <singleXmlCell id="821" xr6:uid="{00000000-000C-0000-FFFF-FFFFE4000000}" r="F125" connectionId="0">
    <xmlCellPr id="1" xr6:uid="{00000000-0010-0000-E400-000001000000}" uniqueName="1">
      <xmlPr mapId="43" xpath="/ns1:Root/ns1:P5_Tied" xmlDataType="string"/>
    </xmlCellPr>
  </singleXmlCell>
  <singleXmlCell id="822" xr6:uid="{00000000-000C-0000-FFFF-FFFFE5000000}" r="B127" connectionId="0">
    <xmlCellPr id="1" xr6:uid="{00000000-0010-0000-E500-000001000000}" uniqueName="1">
      <xmlPr mapId="43" xpath="/ns1:Root/ns1:P6" xmlDataType="string"/>
    </xmlCellPr>
  </singleXmlCell>
  <singleXmlCell id="823" xr6:uid="{00000000-000C-0000-FFFF-FFFFE6000000}" r="E127" connectionId="0">
    <xmlCellPr id="1" xr6:uid="{00000000-0010-0000-E600-000001000000}" uniqueName="1">
      <xmlPr mapId="43" xpath="/ns1:Root/ns1:P6_Code" xmlDataType="double"/>
    </xmlCellPr>
  </singleXmlCell>
  <singleXmlCell id="824" xr6:uid="{00000000-000C-0000-FFFF-FFFFE7000000}" r="F127" connectionId="0">
    <xmlCellPr id="1" xr6:uid="{00000000-0010-0000-E700-000001000000}" uniqueName="1">
      <xmlPr mapId="43" xpath="/ns1:Root/ns1:P6_Tied" xmlDataType="string"/>
    </xmlCellPr>
  </singleXmlCell>
  <singleXmlCell id="837" xr6:uid="{00000000-000C-0000-FFFF-FFFFE8000000}" r="D26" connectionId="0">
    <xmlCellPr id="1" xr6:uid="{00000000-0010-0000-E800-000001000000}" uniqueName="1">
      <xmlPr mapId="43" xpath="/ns1:Root/ns1:Currency" xmlDataType="string"/>
    </xmlCellPr>
  </singleXmlCell>
  <singleXmlCell id="830" xr6:uid="{00000000-000C-0000-FFFF-FFFFE9000000}" r="F133" connectionId="0">
    <xmlCellPr id="1" xr6:uid="{00000000-0010-0000-E900-000001000000}" uniqueName="1">
      <xmlPr mapId="43" xpath="/ns1:Root/ns1:P8_Tied" xmlDataType="string"/>
    </xmlCellPr>
  </singleXmlCell>
  <singleXmlCell id="829" xr6:uid="{00000000-000C-0000-FFFF-FFFFEA000000}" r="E133" connectionId="0">
    <xmlCellPr id="1" xr6:uid="{00000000-0010-0000-EA00-000001000000}" uniqueName="1">
      <xmlPr mapId="43" xpath="/ns1:Root/ns1:P8_Code" xmlDataType="double"/>
    </xmlCellPr>
  </singleXmlCell>
  <singleXmlCell id="828" xr6:uid="{00000000-000C-0000-FFFF-FFFFEB000000}" r="B133" connectionId="0">
    <xmlCellPr id="1" xr6:uid="{00000000-0010-0000-EB00-000001000000}" uniqueName="1">
      <xmlPr mapId="43" xpath="/ns1:Root/ns1:P8" xmlDataType="string"/>
    </xmlCellPr>
  </singleXmlCell>
  <singleXmlCell id="827" xr6:uid="{00000000-000C-0000-FFFF-FFFFEC000000}" r="F129" connectionId="0">
    <xmlCellPr id="1" xr6:uid="{00000000-0010-0000-EC00-000001000000}" uniqueName="1">
      <xmlPr mapId="43" xpath="/ns1:Root/ns1:P7_Tied" xmlDataType="string"/>
    </xmlCellPr>
  </singleXmlCell>
  <singleXmlCell id="826" xr6:uid="{00000000-000C-0000-FFFF-FFFFED000000}" r="E129" connectionId="0">
    <xmlCellPr id="1" xr6:uid="{00000000-0010-0000-ED00-000001000000}" uniqueName="1">
      <xmlPr mapId="43" xpath="/ns1:Root/ns1:P7_Code" xmlDataType="double"/>
    </xmlCellPr>
  </singleXmlCell>
  <singleXmlCell id="825" xr6:uid="{00000000-000C-0000-FFFF-FFFFEE000000}" r="B129" connectionId="0">
    <xmlCellPr id="1" xr6:uid="{00000000-0010-0000-EE00-000001000000}" uniqueName="1">
      <xmlPr mapId="43" xpath="/ns1:Root/ns1:P7" xmlDataType="string"/>
    </xmlCellPr>
  </singleXmlCell>
  <singleXmlCell id="757" xr6:uid="{00000000-000C-0000-FFFF-FFFFEF000000}" r="S134" connectionId="0">
    <xmlCellPr id="1" xr6:uid="{00000000-0010-0000-EF00-000001000000}" uniqueName="1">
      <xmlPr mapId="43" xpath="/ns1:Root/ns1:Prog/ns1:Achieved__P12_8" xmlDataType="string"/>
    </xmlCellPr>
  </singleXmlCell>
  <singleXmlCell id="756" xr6:uid="{00000000-000C-0000-FFFF-FFFFF0000000}" r="R134" connectionId="0">
    <xmlCellPr id="1" xr6:uid="{00000000-0010-0000-F000-000001000000}" uniqueName="1">
      <xmlPr mapId="43" xpath="/ns1:Root/ns1:Prog/ns1:Achieved__P11_8" xmlDataType="string"/>
    </xmlCellPr>
  </singleXmlCell>
  <singleXmlCell id="755" xr6:uid="{00000000-000C-0000-FFFF-FFFFF1000000}" r="Q134" connectionId="0">
    <xmlCellPr id="1" xr6:uid="{00000000-0010-0000-F100-000001000000}" uniqueName="1">
      <xmlPr mapId="43" xpath="/ns1:Root/ns1:Prog/ns1:Achieved__P10_8" xmlDataType="string"/>
    </xmlCellPr>
  </singleXmlCell>
  <singleXmlCell id="754" xr6:uid="{00000000-000C-0000-FFFF-FFFFF2000000}" r="P134" connectionId="0">
    <xmlCellPr id="1" xr6:uid="{00000000-0010-0000-F200-000001000000}" uniqueName="1">
      <xmlPr mapId="43" xpath="/ns1:Root/ns1:Prog/ns1:Achieved__P9_8" xmlDataType="string"/>
    </xmlCellPr>
  </singleXmlCell>
  <singleXmlCell id="753" xr6:uid="{00000000-000C-0000-FFFF-FFFFF3000000}" r="O134" connectionId="0">
    <xmlCellPr id="1" xr6:uid="{00000000-0010-0000-F300-000001000000}" uniqueName="1">
      <xmlPr mapId="43" xpath="/ns1:Root/ns1:Prog/ns1:Achieved__P8_8" xmlDataType="string"/>
    </xmlCellPr>
  </singleXmlCell>
  <singleXmlCell id="752" xr6:uid="{00000000-000C-0000-FFFF-FFFFF4000000}" r="N134" connectionId="0">
    <xmlCellPr id="1" xr6:uid="{00000000-0010-0000-F400-000001000000}" uniqueName="1">
      <xmlPr mapId="43" xpath="/ns1:Root/ns1:Prog/ns1:Achieved__P7_8" xmlDataType="string"/>
    </xmlCellPr>
  </singleXmlCell>
  <singleXmlCell id="751" xr6:uid="{00000000-000C-0000-FFFF-FFFFF5000000}" r="M134" connectionId="0">
    <xmlCellPr id="1" xr6:uid="{00000000-0010-0000-F500-000001000000}" uniqueName="1">
      <xmlPr mapId="43" xpath="/ns1:Root/ns1:Prog/ns1:Achieved__P6_8" xmlDataType="string"/>
    </xmlCellPr>
  </singleXmlCell>
  <singleXmlCell id="750" xr6:uid="{00000000-000C-0000-FFFF-FFFFF6000000}" r="L134" connectionId="0">
    <xmlCellPr id="1" xr6:uid="{00000000-0010-0000-F600-000001000000}" uniqueName="1">
      <xmlPr mapId="43" xpath="/ns1:Root/ns1:Prog/ns1:Achieved__P5_8" xmlDataType="string"/>
    </xmlCellPr>
  </singleXmlCell>
  <singleXmlCell id="749" xr6:uid="{00000000-000C-0000-FFFF-FFFFF7000000}" r="K134" connectionId="0">
    <xmlCellPr id="1" xr6:uid="{00000000-0010-0000-F700-000001000000}" uniqueName="1">
      <xmlPr mapId="43" xpath="/ns1:Root/ns1:Prog/ns1:Achieved__P4_8" xmlDataType="string"/>
    </xmlCellPr>
  </singleXmlCell>
  <singleXmlCell id="748" xr6:uid="{00000000-000C-0000-FFFF-FFFFF8000000}" r="J134" connectionId="0">
    <xmlCellPr id="1" xr6:uid="{00000000-0010-0000-F800-000001000000}" uniqueName="1">
      <xmlPr mapId="43" xpath="/ns1:Root/ns1:Prog/ns1:Achieved__P3_8" xmlDataType="string"/>
    </xmlCellPr>
  </singleXmlCell>
  <singleXmlCell id="747" xr6:uid="{00000000-000C-0000-FFFF-FFFFF9000000}" r="I134" connectionId="0">
    <xmlCellPr id="1" xr6:uid="{00000000-0010-0000-F900-000001000000}" uniqueName="1">
      <xmlPr mapId="43" xpath="/ns1:Root/ns1:Prog/ns1:Achieved__P2_8" xmlDataType="string"/>
    </xmlCellPr>
  </singleXmlCell>
  <singleXmlCell id="746" xr6:uid="{00000000-000C-0000-FFFF-FFFFFA000000}" r="H134" connectionId="0">
    <xmlCellPr id="1" xr6:uid="{00000000-0010-0000-FA00-000001000000}" uniqueName="1">
      <xmlPr mapId="43" xpath="/ns1:Root/ns1:Prog/ns1:Achieved__P1_8" xmlDataType="string"/>
    </xmlCellPr>
  </singleXmlCell>
  <singleXmlCell id="745" xr6:uid="{00000000-000C-0000-FFFF-FFFFFB000000}" r="S133" connectionId="0">
    <xmlCellPr id="1" xr6:uid="{00000000-0010-0000-FB00-000001000000}" uniqueName="1">
      <xmlPr mapId="43" xpath="/ns1:Root/ns1:Prog/ns1:Target_P12_8" xmlDataType="double"/>
    </xmlCellPr>
  </singleXmlCell>
  <singleXmlCell id="744" xr6:uid="{00000000-000C-0000-FFFF-FFFFFC000000}" r="R133" connectionId="0">
    <xmlCellPr id="1" xr6:uid="{00000000-0010-0000-FC00-000001000000}" uniqueName="1">
      <xmlPr mapId="43" xpath="/ns1:Root/ns1:Prog/ns1:Target_P11_8" xmlDataType="double"/>
    </xmlCellPr>
  </singleXmlCell>
  <singleXmlCell id="743" xr6:uid="{00000000-000C-0000-FFFF-FFFFFD000000}" r="Q133" connectionId="0">
    <xmlCellPr id="1" xr6:uid="{00000000-0010-0000-FD00-000001000000}" uniqueName="1">
      <xmlPr mapId="43" xpath="/ns1:Root/ns1:Prog/ns1:Target_P10_8" xmlDataType="double"/>
    </xmlCellPr>
  </singleXmlCell>
  <singleXmlCell id="742" xr6:uid="{00000000-000C-0000-FFFF-FFFFFE000000}" r="P133" connectionId="0">
    <xmlCellPr id="1" xr6:uid="{00000000-0010-0000-FE00-000001000000}" uniqueName="1">
      <xmlPr mapId="43" xpath="/ns1:Root/ns1:Prog/ns1:Target_P9_8" xmlDataType="double"/>
    </xmlCellPr>
  </singleXmlCell>
  <singleXmlCell id="741" xr6:uid="{00000000-000C-0000-FFFF-FFFFFF000000}" r="O133" connectionId="0">
    <xmlCellPr id="1" xr6:uid="{00000000-0010-0000-FF00-000001000000}" uniqueName="1">
      <xmlPr mapId="43" xpath="/ns1:Root/ns1:Prog/ns1:Target_P8_8" xmlDataType="double"/>
    </xmlCellPr>
  </singleXmlCell>
  <singleXmlCell id="740" xr6:uid="{00000000-000C-0000-FFFF-FFFF00010000}" r="N133" connectionId="0">
    <xmlCellPr id="1" xr6:uid="{00000000-0010-0000-0001-000001000000}" uniqueName="1">
      <xmlPr mapId="43" xpath="/ns1:Root/ns1:Prog/ns1:Target_P7_8" xmlDataType="string"/>
    </xmlCellPr>
  </singleXmlCell>
  <singleXmlCell id="739" xr6:uid="{00000000-000C-0000-FFFF-FFFF01010000}" r="M133" connectionId="0">
    <xmlCellPr id="1" xr6:uid="{00000000-0010-0000-0101-000001000000}" uniqueName="1">
      <xmlPr mapId="43" xpath="/ns1:Root/ns1:Prog/ns1:Target_P6_8" xmlDataType="double"/>
    </xmlCellPr>
  </singleXmlCell>
  <singleXmlCell id="738" xr6:uid="{00000000-000C-0000-FFFF-FFFF02010000}" r="L133" connectionId="0">
    <xmlCellPr id="1" xr6:uid="{00000000-0010-0000-0201-000001000000}" uniqueName="1">
      <xmlPr mapId="43" xpath="/ns1:Root/ns1:Prog/ns1:Target_P5_8" xmlDataType="string"/>
    </xmlCellPr>
  </singleXmlCell>
  <singleXmlCell id="737" xr6:uid="{00000000-000C-0000-FFFF-FFFF03010000}" r="K133" connectionId="0">
    <xmlCellPr id="1" xr6:uid="{00000000-0010-0000-0301-000001000000}" uniqueName="1">
      <xmlPr mapId="43" xpath="/ns1:Root/ns1:Prog/ns1:Target_P4_8" xmlDataType="double"/>
    </xmlCellPr>
  </singleXmlCell>
  <singleXmlCell id="736" xr6:uid="{00000000-000C-0000-FFFF-FFFF04010000}" r="J133" connectionId="0">
    <xmlCellPr id="1" xr6:uid="{00000000-0010-0000-0401-000001000000}" uniqueName="1">
      <xmlPr mapId="43" xpath="/ns1:Root/ns1:Prog/ns1:Target_P3_8" xmlDataType="string"/>
    </xmlCellPr>
  </singleXmlCell>
  <singleXmlCell id="735" xr6:uid="{00000000-000C-0000-FFFF-FFFF05010000}" r="I133" connectionId="0">
    <xmlCellPr id="1" xr6:uid="{00000000-0010-0000-0501-000001000000}" uniqueName="1">
      <xmlPr mapId="43" xpath="/ns1:Root/ns1:Prog/ns1:Target_P2_8" xmlDataType="double"/>
    </xmlCellPr>
  </singleXmlCell>
  <singleXmlCell id="734" xr6:uid="{00000000-000C-0000-FFFF-FFFF06010000}" r="H133" connectionId="0">
    <xmlCellPr id="1" xr6:uid="{00000000-0010-0000-0601-000001000000}" uniqueName="1">
      <xmlPr mapId="43" xpath="/ns1:Root/ns1:Prog/ns1:Target_P1_8" xmlDataType="string"/>
    </xmlCellPr>
  </singleXmlCell>
  <singleXmlCell id="733" xr6:uid="{00000000-000C-0000-FFFF-FFFF07010000}" r="S130" connectionId="0">
    <xmlCellPr id="1" xr6:uid="{00000000-0010-0000-0701-000001000000}" uniqueName="1">
      <xmlPr mapId="43" xpath="/ns1:Root/ns1:Prog/ns1:Achieved__P12_7" xmlDataType="string"/>
    </xmlCellPr>
  </singleXmlCell>
  <singleXmlCell id="732" xr6:uid="{00000000-000C-0000-FFFF-FFFF08010000}" r="R130" connectionId="0">
    <xmlCellPr id="1" xr6:uid="{00000000-0010-0000-0801-000001000000}" uniqueName="1">
      <xmlPr mapId="43" xpath="/ns1:Root/ns1:Prog/ns1:Achieved__P11_7" xmlDataType="string"/>
    </xmlCellPr>
  </singleXmlCell>
  <singleXmlCell id="731" xr6:uid="{00000000-000C-0000-FFFF-FFFF09010000}" r="Q130" connectionId="0">
    <xmlCellPr id="1" xr6:uid="{00000000-0010-0000-0901-000001000000}" uniqueName="1">
      <xmlPr mapId="43" xpath="/ns1:Root/ns1:Prog/ns1:Achieved__P10_7" xmlDataType="string"/>
    </xmlCellPr>
  </singleXmlCell>
  <singleXmlCell id="730" xr6:uid="{00000000-000C-0000-FFFF-FFFF0A010000}" r="P130" connectionId="0">
    <xmlCellPr id="1" xr6:uid="{00000000-0010-0000-0A01-000001000000}" uniqueName="1">
      <xmlPr mapId="43" xpath="/ns1:Root/ns1:Prog/ns1:Achieved__P9_7" xmlDataType="string"/>
    </xmlCellPr>
  </singleXmlCell>
  <singleXmlCell id="729" xr6:uid="{00000000-000C-0000-FFFF-FFFF0B010000}" r="O130" connectionId="0">
    <xmlCellPr id="1" xr6:uid="{00000000-0010-0000-0B01-000001000000}" uniqueName="1">
      <xmlPr mapId="43" xpath="/ns1:Root/ns1:Prog/ns1:Achieved__P8_7" xmlDataType="string"/>
    </xmlCellPr>
  </singleXmlCell>
  <singleXmlCell id="728" xr6:uid="{00000000-000C-0000-FFFF-FFFF0C010000}" r="N130" connectionId="0">
    <xmlCellPr id="1" xr6:uid="{00000000-0010-0000-0C01-000001000000}" uniqueName="1">
      <xmlPr mapId="43" xpath="/ns1:Root/ns1:Prog/ns1:Achieved__P7_7" xmlDataType="string"/>
    </xmlCellPr>
  </singleXmlCell>
  <singleXmlCell id="727" xr6:uid="{00000000-000C-0000-FFFF-FFFF0D010000}" r="M130" connectionId="0">
    <xmlCellPr id="1" xr6:uid="{00000000-0010-0000-0D01-000001000000}" uniqueName="1">
      <xmlPr mapId="43" xpath="/ns1:Root/ns1:Prog/ns1:Achieved__P6_7" xmlDataType="string"/>
    </xmlCellPr>
  </singleXmlCell>
  <singleXmlCell id="726" xr6:uid="{00000000-000C-0000-FFFF-FFFF0E010000}" r="L130" connectionId="0">
    <xmlCellPr id="1" xr6:uid="{00000000-0010-0000-0E01-000001000000}" uniqueName="1">
      <xmlPr mapId="43" xpath="/ns1:Root/ns1:Prog/ns1:Achieved__P5_7" xmlDataType="string"/>
    </xmlCellPr>
  </singleXmlCell>
  <singleXmlCell id="725" xr6:uid="{00000000-000C-0000-FFFF-FFFF0F010000}" r="K130" connectionId="0">
    <xmlCellPr id="1" xr6:uid="{00000000-0010-0000-0F01-000001000000}" uniqueName="1">
      <xmlPr mapId="43" xpath="/ns1:Root/ns1:Prog/ns1:Achieved__P4_7" xmlDataType="double"/>
    </xmlCellPr>
  </singleXmlCell>
  <singleXmlCell id="724" xr6:uid="{00000000-000C-0000-FFFF-FFFF10010000}" r="J130" connectionId="0">
    <xmlCellPr id="1" xr6:uid="{00000000-0010-0000-1001-000001000000}" uniqueName="1">
      <xmlPr mapId="43" xpath="/ns1:Root/ns1:Prog/ns1:Achieved__P3_7" xmlDataType="double"/>
    </xmlCellPr>
  </singleXmlCell>
  <singleXmlCell id="723" xr6:uid="{00000000-000C-0000-FFFF-FFFF11010000}" r="I130" connectionId="0">
    <xmlCellPr id="1" xr6:uid="{00000000-0010-0000-1101-000001000000}" uniqueName="1">
      <xmlPr mapId="43" xpath="/ns1:Root/ns1:Prog/ns1:Achieved__P2_7" xmlDataType="double"/>
    </xmlCellPr>
  </singleXmlCell>
  <singleXmlCell id="722" xr6:uid="{00000000-000C-0000-FFFF-FFFF12010000}" r="H130" connectionId="0">
    <xmlCellPr id="1" xr6:uid="{00000000-0010-0000-1201-000001000000}" uniqueName="1">
      <xmlPr mapId="43" xpath="/ns1:Root/ns1:Prog/ns1:Achieved__P1_7" xmlDataType="double"/>
    </xmlCellPr>
  </singleXmlCell>
  <singleXmlCell id="721" xr6:uid="{00000000-000C-0000-FFFF-FFFF13010000}" r="S129" connectionId="0">
    <xmlCellPr id="1" xr6:uid="{00000000-0010-0000-1301-000001000000}" uniqueName="1">
      <xmlPr mapId="43" xpath="/ns1:Root/ns1:Prog/ns1:Target_P12_7" xmlDataType="double"/>
    </xmlCellPr>
  </singleXmlCell>
  <singleXmlCell id="720" xr6:uid="{00000000-000C-0000-FFFF-FFFF14010000}" r="R129" connectionId="0">
    <xmlCellPr id="1" xr6:uid="{00000000-0010-0000-1401-000001000000}" uniqueName="1">
      <xmlPr mapId="43" xpath="/ns1:Root/ns1:Prog/ns1:Target_P11_7" xmlDataType="double"/>
    </xmlCellPr>
  </singleXmlCell>
  <singleXmlCell id="719" xr6:uid="{00000000-000C-0000-FFFF-FFFF15010000}" r="Q129" connectionId="0">
    <xmlCellPr id="1" xr6:uid="{00000000-0010-0000-1501-000001000000}" uniqueName="1">
      <xmlPr mapId="43" xpath="/ns1:Root/ns1:Prog/ns1:Target_P10_7" xmlDataType="double"/>
    </xmlCellPr>
  </singleXmlCell>
  <singleXmlCell id="718" xr6:uid="{00000000-000C-0000-FFFF-FFFF16010000}" r="P129" connectionId="0">
    <xmlCellPr id="1" xr6:uid="{00000000-0010-0000-1601-000001000000}" uniqueName="1">
      <xmlPr mapId="43" xpath="/ns1:Root/ns1:Prog/ns1:Target_P9_7" xmlDataType="double"/>
    </xmlCellPr>
  </singleXmlCell>
  <singleXmlCell id="717" xr6:uid="{00000000-000C-0000-FFFF-FFFF17010000}" r="O129" connectionId="0">
    <xmlCellPr id="1" xr6:uid="{00000000-0010-0000-1701-000001000000}" uniqueName="1">
      <xmlPr mapId="43" xpath="/ns1:Root/ns1:Prog/ns1:Target_P8_7" xmlDataType="double"/>
    </xmlCellPr>
  </singleXmlCell>
  <singleXmlCell id="716" xr6:uid="{00000000-000C-0000-FFFF-FFFF18010000}" r="N129" connectionId="0">
    <xmlCellPr id="1" xr6:uid="{00000000-0010-0000-1801-000001000000}" uniqueName="1">
      <xmlPr mapId="43" xpath="/ns1:Root/ns1:Prog/ns1:Target_P7_7" xmlDataType="double"/>
    </xmlCellPr>
  </singleXmlCell>
  <singleXmlCell id="715" xr6:uid="{00000000-000C-0000-FFFF-FFFF19010000}" r="M129" connectionId="0">
    <xmlCellPr id="1" xr6:uid="{00000000-0010-0000-1901-000001000000}" uniqueName="1">
      <xmlPr mapId="43" xpath="/ns1:Root/ns1:Prog/ns1:Target_P6_7" xmlDataType="double"/>
    </xmlCellPr>
  </singleXmlCell>
  <singleXmlCell id="714" xr6:uid="{00000000-000C-0000-FFFF-FFFF1A010000}" r="L129" connectionId="0">
    <xmlCellPr id="1" xr6:uid="{00000000-0010-0000-1A01-000001000000}" uniqueName="1">
      <xmlPr mapId="43" xpath="/ns1:Root/ns1:Prog/ns1:Target_P5_7" xmlDataType="double"/>
    </xmlCellPr>
  </singleXmlCell>
  <singleXmlCell id="713" xr6:uid="{00000000-000C-0000-FFFF-FFFF1B010000}" r="K129" connectionId="0">
    <xmlCellPr id="1" xr6:uid="{00000000-0010-0000-1B01-000001000000}" uniqueName="1">
      <xmlPr mapId="43" xpath="/ns1:Root/ns1:Prog/ns1:Target_P4_7" xmlDataType="double"/>
    </xmlCellPr>
  </singleXmlCell>
  <singleXmlCell id="712" xr6:uid="{00000000-000C-0000-FFFF-FFFF1C010000}" r="J129" connectionId="0">
    <xmlCellPr id="1" xr6:uid="{00000000-0010-0000-1C01-000001000000}" uniqueName="1">
      <xmlPr mapId="43" xpath="/ns1:Root/ns1:Prog/ns1:Target_P3_7" xmlDataType="double"/>
    </xmlCellPr>
  </singleXmlCell>
  <singleXmlCell id="711" xr6:uid="{00000000-000C-0000-FFFF-FFFF1D010000}" r="I129" connectionId="0">
    <xmlCellPr id="1" xr6:uid="{00000000-0010-0000-1D01-000001000000}" uniqueName="1">
      <xmlPr mapId="43" xpath="/ns1:Root/ns1:Prog/ns1:Target_P2_7" xmlDataType="double"/>
    </xmlCellPr>
  </singleXmlCell>
  <singleXmlCell id="710" xr6:uid="{00000000-000C-0000-FFFF-FFFF1E010000}" r="H129" connectionId="0">
    <xmlCellPr id="1" xr6:uid="{00000000-0010-0000-1E01-000001000000}" uniqueName="1">
      <xmlPr mapId="43" xpath="/ns1:Root/ns1:Prog/ns1:Target_P1_7" xmlDataType="double"/>
    </xmlCellPr>
  </singleXmlCell>
  <singleXmlCell id="815" xr6:uid="{00000000-000C-0000-FFFF-FFFF1F010000}" r="F123" connectionId="0">
    <xmlCellPr id="1" xr6:uid="{00000000-0010-0000-1F01-000001000000}" uniqueName="1">
      <xmlPr mapId="43" xpath="/ns1:Root/ns1:P3_Tied" xmlDataType="string"/>
    </xmlCellPr>
  </singleXmlCell>
  <singleXmlCell id="814" xr6:uid="{00000000-000C-0000-FFFF-FFFF20010000}" r="E123" connectionId="0">
    <xmlCellPr id="1" xr6:uid="{00000000-0010-0000-2001-000001000000}" uniqueName="1">
      <xmlPr mapId="43" xpath="/ns1:Root/ns1:P3_Code" xmlDataType="double"/>
    </xmlCellPr>
  </singleXmlCell>
  <singleXmlCell id="813" xr6:uid="{00000000-000C-0000-FFFF-FFFF21010000}" r="B123" connectionId="0">
    <xmlCellPr id="1" xr6:uid="{00000000-0010-0000-2101-000001000000}" uniqueName="1">
      <xmlPr mapId="43" xpath="/ns1:Root/ns1:P3" xmlDataType="string"/>
    </xmlCellPr>
  </singleXmlCell>
  <singleXmlCell id="637" xr6:uid="{00000000-000C-0000-FFFF-FFFF22010000}" r="S124" connectionId="0">
    <xmlCellPr id="1" xr6:uid="{00000000-0010-0000-2201-000001000000}" uniqueName="1">
      <xmlPr mapId="43" xpath="/ns1:Root/ns1:Prog/ns1:Achieved__P12_3" xmlDataType="string"/>
    </xmlCellPr>
  </singleXmlCell>
  <singleXmlCell id="636" xr6:uid="{00000000-000C-0000-FFFF-FFFF23010000}" r="R124" connectionId="0">
    <xmlCellPr id="1" xr6:uid="{00000000-0010-0000-2301-000001000000}" uniqueName="1">
      <xmlPr mapId="43" xpath="/ns1:Root/ns1:Prog/ns1:Achieved__P11_3" xmlDataType="string"/>
    </xmlCellPr>
  </singleXmlCell>
  <singleXmlCell id="635" xr6:uid="{00000000-000C-0000-FFFF-FFFF24010000}" r="Q124" connectionId="0">
    <xmlCellPr id="1" xr6:uid="{00000000-0010-0000-2401-000001000000}" uniqueName="1">
      <xmlPr mapId="43" xpath="/ns1:Root/ns1:Prog/ns1:Achieved__P10_3" xmlDataType="string"/>
    </xmlCellPr>
  </singleXmlCell>
  <singleXmlCell id="634" xr6:uid="{00000000-000C-0000-FFFF-FFFF25010000}" r="P124" connectionId="0">
    <xmlCellPr id="1" xr6:uid="{00000000-0010-0000-2501-000001000000}" uniqueName="1">
      <xmlPr mapId="43" xpath="/ns1:Root/ns1:Prog/ns1:Achieved__P9_3" xmlDataType="string"/>
    </xmlCellPr>
  </singleXmlCell>
  <singleXmlCell id="633" xr6:uid="{00000000-000C-0000-FFFF-FFFF26010000}" r="O124" connectionId="0">
    <xmlCellPr id="1" xr6:uid="{00000000-0010-0000-2601-000001000000}" uniqueName="1">
      <xmlPr mapId="43" xpath="/ns1:Root/ns1:Prog/ns1:Achieved__P8_3" xmlDataType="string"/>
    </xmlCellPr>
  </singleXmlCell>
  <singleXmlCell id="632" xr6:uid="{00000000-000C-0000-FFFF-FFFF27010000}" r="N124" connectionId="0">
    <xmlCellPr id="1" xr6:uid="{00000000-0010-0000-2701-000001000000}" uniqueName="1">
      <xmlPr mapId="43" xpath="/ns1:Root/ns1:Prog/ns1:Achieved__P7_3" xmlDataType="string"/>
    </xmlCellPr>
  </singleXmlCell>
  <singleXmlCell id="631" xr6:uid="{00000000-000C-0000-FFFF-FFFF28010000}" r="M124" connectionId="0">
    <xmlCellPr id="1" xr6:uid="{00000000-0010-0000-2801-000001000000}" uniqueName="1">
      <xmlPr mapId="43" xpath="/ns1:Root/ns1:Prog/ns1:Achieved__P6_3" xmlDataType="string"/>
    </xmlCellPr>
  </singleXmlCell>
  <singleXmlCell id="630" xr6:uid="{00000000-000C-0000-FFFF-FFFF29010000}" r="L124" connectionId="0">
    <xmlCellPr id="1" xr6:uid="{00000000-0010-0000-2901-000001000000}" uniqueName="1">
      <xmlPr mapId="43" xpath="/ns1:Root/ns1:Prog/ns1:Achieved__P5_3" xmlDataType="string"/>
    </xmlCellPr>
  </singleXmlCell>
  <singleXmlCell id="629" xr6:uid="{00000000-000C-0000-FFFF-FFFF2A010000}" r="K124" connectionId="0">
    <xmlCellPr id="1" xr6:uid="{00000000-0010-0000-2A01-000001000000}" uniqueName="1">
      <xmlPr mapId="43" xpath="/ns1:Root/ns1:Prog/ns1:Achieved__P4_3" xmlDataType="double"/>
    </xmlCellPr>
  </singleXmlCell>
  <singleXmlCell id="628" xr6:uid="{00000000-000C-0000-FFFF-FFFF2B010000}" r="J124" connectionId="0">
    <xmlCellPr id="1" xr6:uid="{00000000-0010-0000-2B01-000001000000}" uniqueName="1">
      <xmlPr mapId="43" xpath="/ns1:Root/ns1:Prog/ns1:Achieved__P3_3" xmlDataType="string"/>
    </xmlCellPr>
  </singleXmlCell>
  <singleXmlCell id="627" xr6:uid="{00000000-000C-0000-FFFF-FFFF2C010000}" r="I124" connectionId="0">
    <xmlCellPr id="1" xr6:uid="{00000000-0010-0000-2C01-000001000000}" uniqueName="1">
      <xmlPr mapId="43" xpath="/ns1:Root/ns1:Prog/ns1:Achieved__P2_3" xmlDataType="double"/>
    </xmlCellPr>
  </singleXmlCell>
  <singleXmlCell id="626" xr6:uid="{00000000-000C-0000-FFFF-FFFF2D010000}" r="H124" connectionId="0">
    <xmlCellPr id="1" xr6:uid="{00000000-0010-0000-2D01-000001000000}" uniqueName="1">
      <xmlPr mapId="43" xpath="/ns1:Root/ns1:Prog/ns1:Achieved__P1_3" xmlDataType="string"/>
    </xmlCellPr>
  </singleXmlCell>
  <singleXmlCell id="625" xr6:uid="{00000000-000C-0000-FFFF-FFFF2E010000}" r="S123" connectionId="0">
    <xmlCellPr id="1" xr6:uid="{00000000-0010-0000-2E01-000001000000}" uniqueName="1">
      <xmlPr mapId="43" xpath="/ns1:Root/ns1:Prog/ns1:Target_P12_3" xmlDataType="double"/>
    </xmlCellPr>
  </singleXmlCell>
  <singleXmlCell id="624" xr6:uid="{00000000-000C-0000-FFFF-FFFF2F010000}" r="R123" connectionId="0">
    <xmlCellPr id="1" xr6:uid="{00000000-0010-0000-2F01-000001000000}" uniqueName="1">
      <xmlPr mapId="43" xpath="/ns1:Root/ns1:Prog/ns1:Target_P11_3" xmlDataType="string"/>
    </xmlCellPr>
  </singleXmlCell>
  <singleXmlCell id="623" xr6:uid="{00000000-000C-0000-FFFF-FFFF30010000}" r="Q123" connectionId="0">
    <xmlCellPr id="1" xr6:uid="{00000000-0010-0000-3001-000001000000}" uniqueName="1">
      <xmlPr mapId="43" xpath="/ns1:Root/ns1:Prog/ns1:Target_P10_3" xmlDataType="string"/>
    </xmlCellPr>
  </singleXmlCell>
  <singleXmlCell id="622" xr6:uid="{00000000-000C-0000-FFFF-FFFF31010000}" r="P123" connectionId="0">
    <xmlCellPr id="1" xr6:uid="{00000000-0010-0000-3101-000001000000}" uniqueName="1">
      <xmlPr mapId="43" xpath="/ns1:Root/ns1:Prog/ns1:Target_P9_3" xmlDataType="double"/>
    </xmlCellPr>
  </singleXmlCell>
  <singleXmlCell id="621" xr6:uid="{00000000-000C-0000-FFFF-FFFF32010000}" r="O123" connectionId="0">
    <xmlCellPr id="1" xr6:uid="{00000000-0010-0000-3201-000001000000}" uniqueName="1">
      <xmlPr mapId="43" xpath="/ns1:Root/ns1:Prog/ns1:Target_P8_3" xmlDataType="double"/>
    </xmlCellPr>
  </singleXmlCell>
  <singleXmlCell id="620" xr6:uid="{00000000-000C-0000-FFFF-FFFF33010000}" r="N123" connectionId="0">
    <xmlCellPr id="1" xr6:uid="{00000000-0010-0000-3301-000001000000}" uniqueName="1">
      <xmlPr mapId="43" xpath="/ns1:Root/ns1:Prog/ns1:Target_P7_3" xmlDataType="double"/>
    </xmlCellPr>
  </singleXmlCell>
  <singleXmlCell id="619" xr6:uid="{00000000-000C-0000-FFFF-FFFF34010000}" r="M123" connectionId="0">
    <xmlCellPr id="1" xr6:uid="{00000000-0010-0000-3401-000001000000}" uniqueName="1">
      <xmlPr mapId="43" xpath="/ns1:Root/ns1:Prog/ns1:Target_P6_3" xmlDataType="double"/>
    </xmlCellPr>
  </singleXmlCell>
  <singleXmlCell id="618" xr6:uid="{00000000-000C-0000-FFFF-FFFF35010000}" r="L123" connectionId="0">
    <xmlCellPr id="1" xr6:uid="{00000000-0010-0000-3501-000001000000}" uniqueName="1">
      <xmlPr mapId="43" xpath="/ns1:Root/ns1:Prog/ns1:Target_P5_3" xmlDataType="double"/>
    </xmlCellPr>
  </singleXmlCell>
  <singleXmlCell id="617" xr6:uid="{00000000-000C-0000-FFFF-FFFF36010000}" r="K123" connectionId="0">
    <xmlCellPr id="1" xr6:uid="{00000000-0010-0000-3601-000001000000}" uniqueName="1">
      <xmlPr mapId="43" xpath="/ns1:Root/ns1:Prog/ns1:Target_P4_3" xmlDataType="double"/>
    </xmlCellPr>
  </singleXmlCell>
  <singleXmlCell id="616" xr6:uid="{00000000-000C-0000-FFFF-FFFF37010000}" r="J123" connectionId="0">
    <xmlCellPr id="1" xr6:uid="{00000000-0010-0000-3701-000001000000}" uniqueName="1">
      <xmlPr mapId="43" xpath="/ns1:Root/ns1:Prog/ns1:Target_P3_3" xmlDataType="double"/>
    </xmlCellPr>
  </singleXmlCell>
  <singleXmlCell id="615" xr6:uid="{00000000-000C-0000-FFFF-FFFF38010000}" r="I123" connectionId="0">
    <xmlCellPr id="1" xr6:uid="{00000000-0010-0000-3801-000001000000}" uniqueName="1">
      <xmlPr mapId="43" xpath="/ns1:Root/ns1:Prog/ns1:Target_P2_3" xmlDataType="double"/>
    </xmlCellPr>
  </singleXmlCell>
  <singleXmlCell id="614" xr6:uid="{00000000-000C-0000-FFFF-FFFF39010000}" r="H123" connectionId="0">
    <xmlCellPr id="1" xr6:uid="{00000000-0010-0000-3901-000001000000}" uniqueName="1">
      <xmlPr mapId="43" xpath="/ns1:Root/ns1:Prog/ns1:Target_P1_3"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zoomScaleNormal="100" workbookViewId="0">
      <selection activeCell="B4" sqref="B4:E4"/>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611" t="str">
        <f>+'Detail despre Grant'!B3:J3</f>
        <v>Tabel Programatic de Evaluare:  Moldova - HIVAIDS / TB</v>
      </c>
      <c r="C2" s="611"/>
      <c r="D2" s="611"/>
      <c r="E2" s="611"/>
      <c r="F2" s="611"/>
      <c r="G2" s="611"/>
      <c r="H2" s="611"/>
      <c r="I2" s="611"/>
      <c r="J2" s="611"/>
      <c r="K2" s="611"/>
      <c r="L2" s="611"/>
      <c r="M2" s="1"/>
      <c r="N2" s="1"/>
      <c r="O2" s="1"/>
    </row>
    <row r="4" spans="2:15" ht="21">
      <c r="B4" s="612" t="str">
        <f>+IF('Introducerea datelor'!G6="Please Select", "",'Introducerea datelor'!G6) &amp;"  "&amp;+IF('Introducerea datelor'!G8="Please Select", "", 'Introducerea datelor'!G8&amp;",  ")&amp;+IF('Introducerea datelor'!I8="Please Select","",'Introducerea datelor'!I8)</f>
        <v xml:space="preserve">HIVAIDS / TB  </v>
      </c>
      <c r="C4" s="612"/>
      <c r="D4" s="612"/>
      <c r="E4" s="613"/>
      <c r="F4" s="133"/>
      <c r="G4" s="133"/>
      <c r="H4" s="194" t="str">
        <f>+'Introducerea datelor'!B6&amp;" "&amp;+'Introducerea datelor'!C6</f>
        <v>No. Grantului : MDA-C-PCIMU</v>
      </c>
      <c r="I4" s="194"/>
      <c r="J4" s="132"/>
      <c r="K4" s="133"/>
      <c r="L4" s="133"/>
    </row>
    <row r="22" spans="2:12" ht="26.25">
      <c r="B22" s="614" t="s">
        <v>273</v>
      </c>
      <c r="C22" s="615"/>
      <c r="D22" s="615"/>
      <c r="E22" s="615"/>
      <c r="F22" s="615"/>
      <c r="G22" s="615"/>
      <c r="H22" s="615"/>
      <c r="I22" s="615"/>
      <c r="J22" s="615"/>
      <c r="K22" s="615"/>
      <c r="L22" s="615"/>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O61"/>
  <sheetViews>
    <sheetView showGridLines="0" tabSelected="1" view="pageBreakPreview" zoomScale="70" zoomScaleNormal="70" zoomScaleSheetLayoutView="70" workbookViewId="0">
      <pane ySplit="2" topLeftCell="A3" activePane="bottomLeft" state="frozen"/>
      <selection activeCell="E22" sqref="E22"/>
      <selection pane="bottomLeft" activeCell="C65" sqref="C65"/>
    </sheetView>
  </sheetViews>
  <sheetFormatPr defaultColWidth="11" defaultRowHeight="15"/>
  <cols>
    <col min="1" max="1" width="3.42578125" style="359" bestFit="1" customWidth="1"/>
    <col min="2" max="2" width="4" customWidth="1"/>
    <col min="3" max="3" width="78.42578125" customWidth="1"/>
    <col min="4" max="4" width="183.5703125" bestFit="1" customWidth="1"/>
    <col min="5" max="5" width="33" bestFit="1" customWidth="1"/>
    <col min="6" max="6" width="40.7109375" bestFit="1" customWidth="1"/>
    <col min="7" max="7" width="2.85546875" style="29" customWidth="1"/>
    <col min="8" max="8" width="3" style="29" customWidth="1"/>
    <col min="9" max="9" width="2.5703125" customWidth="1"/>
    <col min="10" max="10" width="16.140625" customWidth="1"/>
    <col min="11" max="11" width="13.7109375" customWidth="1"/>
    <col min="12" max="12" width="11.42578125" customWidth="1"/>
    <col min="13" max="13" width="14.85546875" customWidth="1"/>
    <col min="14" max="14" width="16" customWidth="1"/>
    <col min="15" max="15" width="11.42578125" hidden="1" customWidth="1"/>
    <col min="16" max="16" width="15.5703125" customWidth="1"/>
    <col min="17" max="17" width="11.42578125" customWidth="1"/>
    <col min="18" max="18" width="2.28515625" customWidth="1"/>
    <col min="19" max="19" width="1.140625" customWidth="1"/>
    <col min="20" max="20" width="3.28515625" customWidth="1"/>
    <col min="21" max="21" width="17" customWidth="1"/>
    <col min="22" max="22" width="15" customWidth="1"/>
    <col min="23" max="23" width="11.42578125" customWidth="1"/>
    <col min="24" max="24" width="13.5703125" customWidth="1"/>
    <col min="25" max="25" width="16.85546875" customWidth="1"/>
    <col min="26" max="26" width="11.42578125" customWidth="1"/>
    <col min="27" max="27" width="2" customWidth="1"/>
    <col min="28" max="28" width="3.28515625" customWidth="1"/>
    <col min="29" max="29" width="2.28515625" customWidth="1"/>
    <col min="30" max="30" width="40.7109375" customWidth="1"/>
    <col min="31" max="31" width="15.42578125" customWidth="1"/>
  </cols>
  <sheetData>
    <row r="1" spans="1:8">
      <c r="B1" s="3"/>
      <c r="C1" s="3"/>
      <c r="D1" s="3"/>
      <c r="E1" s="3"/>
      <c r="F1" s="3"/>
    </row>
    <row r="2" spans="1:8" ht="28.5">
      <c r="B2" s="3"/>
      <c r="C2" s="400" t="str">
        <f>+"Tabel Programatic de Evaluare: "&amp;" "&amp;+IF('Introducerea datelor'!C4="Please Select","",'Introducerea datelor'!C4&amp;" - ")&amp;+IF('Introducerea datelor'!G6="Please Select","",'Introducerea datelor'!G6)</f>
        <v>Tabel Programatic de Evaluare:  Moldova - HIVAIDS / TB</v>
      </c>
      <c r="D2" s="400"/>
      <c r="E2" s="400"/>
      <c r="F2" s="400"/>
    </row>
    <row r="3" spans="1:8" ht="28.5">
      <c r="B3" s="3"/>
      <c r="C3" s="130"/>
      <c r="D3" s="130"/>
      <c r="E3" s="130"/>
      <c r="F3" s="3"/>
    </row>
    <row r="5" spans="1:8" ht="23.25">
      <c r="C5" s="367" t="s">
        <v>226</v>
      </c>
      <c r="D5" s="367"/>
      <c r="E5" s="367"/>
      <c r="F5" s="367"/>
      <c r="G5" s="367"/>
      <c r="H5" s="367"/>
    </row>
    <row r="7" spans="1:8" ht="21">
      <c r="C7" s="401" t="s">
        <v>215</v>
      </c>
      <c r="D7" s="401" t="s">
        <v>216</v>
      </c>
      <c r="E7" s="401" t="s">
        <v>217</v>
      </c>
      <c r="F7" s="401" t="s">
        <v>251</v>
      </c>
      <c r="G7" s="402"/>
      <c r="H7" s="403"/>
    </row>
    <row r="8" spans="1:8" ht="85.5">
      <c r="C8" s="380" t="str">
        <f>+'Introducerea datelor'!B27</f>
        <v>F1: Bugetul și debursările de către Fondul Global</v>
      </c>
      <c r="D8" s="404" t="s">
        <v>269</v>
      </c>
      <c r="E8" s="377" t="s">
        <v>252</v>
      </c>
      <c r="F8" s="377" t="s">
        <v>270</v>
      </c>
      <c r="G8" s="378"/>
      <c r="H8" s="379"/>
    </row>
    <row r="9" spans="1:8" ht="71.25">
      <c r="C9" s="380" t="str">
        <f>+'Introducerea datelor'!B36</f>
        <v>F2: Bugetul și cheltuielile actuale după Obiectivele Grantului</v>
      </c>
      <c r="D9" s="399" t="s">
        <v>260</v>
      </c>
      <c r="E9" s="377" t="s">
        <v>254</v>
      </c>
      <c r="F9" s="377" t="s">
        <v>270</v>
      </c>
      <c r="G9" s="378"/>
      <c r="H9" s="379"/>
    </row>
    <row r="10" spans="1:8" ht="156.75">
      <c r="C10" s="380" t="str">
        <f>+'Introducerea datelor'!B51</f>
        <v>F3: Debursări și cheltuieli</v>
      </c>
      <c r="D10" s="399" t="s">
        <v>271</v>
      </c>
      <c r="E10" s="377" t="s">
        <v>261</v>
      </c>
      <c r="F10" s="377" t="s">
        <v>253</v>
      </c>
      <c r="G10" s="378"/>
      <c r="H10" s="379"/>
    </row>
    <row r="11" spans="1:8" ht="174.75">
      <c r="C11" s="380" t="str">
        <f>+'Introducerea datelor'!B60</f>
        <v xml:space="preserve">F4: Ultima perioadă de raportare și debursare a RP </v>
      </c>
      <c r="D11" s="399" t="s">
        <v>274</v>
      </c>
      <c r="E11" s="377" t="s">
        <v>262</v>
      </c>
      <c r="F11" s="377" t="s">
        <v>220</v>
      </c>
      <c r="G11" s="378"/>
      <c r="H11" s="379"/>
    </row>
    <row r="12" spans="1:8" s="19" customFormat="1">
      <c r="A12" s="360"/>
      <c r="C12" s="406"/>
      <c r="D12" s="405"/>
      <c r="E12" s="405"/>
      <c r="F12" s="405"/>
      <c r="G12" s="405"/>
      <c r="H12" s="405"/>
    </row>
    <row r="13" spans="1:8" s="19" customFormat="1">
      <c r="A13" s="360"/>
      <c r="C13" s="398"/>
      <c r="D13" s="394"/>
      <c r="E13" s="394"/>
      <c r="F13" s="394"/>
      <c r="G13" s="394"/>
      <c r="H13" s="394"/>
    </row>
    <row r="14" spans="1:8" s="19" customFormat="1">
      <c r="A14" s="360"/>
      <c r="C14" s="398"/>
      <c r="D14" s="394"/>
      <c r="E14" s="394"/>
      <c r="F14" s="394"/>
      <c r="G14" s="394"/>
      <c r="H14" s="394"/>
    </row>
    <row r="15" spans="1:8" s="19" customFormat="1">
      <c r="A15" s="360"/>
      <c r="C15" s="398"/>
      <c r="D15" s="394"/>
      <c r="E15" s="394"/>
      <c r="F15" s="394"/>
      <c r="G15" s="394"/>
      <c r="H15" s="394"/>
    </row>
    <row r="16" spans="1:8" ht="23.25">
      <c r="C16" s="367" t="s">
        <v>227</v>
      </c>
      <c r="D16" s="367"/>
      <c r="E16" s="367"/>
      <c r="F16" s="367"/>
      <c r="G16" s="367"/>
      <c r="H16" s="367"/>
    </row>
    <row r="18" spans="2:8" ht="21">
      <c r="C18" s="395" t="s">
        <v>215</v>
      </c>
      <c r="D18" s="395" t="s">
        <v>216</v>
      </c>
      <c r="E18" s="395" t="s">
        <v>217</v>
      </c>
      <c r="F18" s="395" t="s">
        <v>218</v>
      </c>
      <c r="G18" s="396"/>
      <c r="H18" s="397"/>
    </row>
    <row r="19" spans="2:8" ht="99.75">
      <c r="C19" s="380" t="str">
        <f>+'Introducerea datelor'!B71</f>
        <v xml:space="preserve">M1: Statutul Condițiilor Precedente și a Acțiunilor Prestabilite în Timp </v>
      </c>
      <c r="D19" s="399" t="s">
        <v>225</v>
      </c>
      <c r="E19" s="377" t="s">
        <v>255</v>
      </c>
      <c r="F19" s="377" t="s">
        <v>256</v>
      </c>
      <c r="G19" s="378"/>
      <c r="H19" s="379"/>
    </row>
    <row r="20" spans="2:8" ht="43.5">
      <c r="C20" s="380" t="str">
        <f>+'Introducerea datelor'!B78</f>
        <v xml:space="preserve">M2: Statutul pozițiilor cheie a RP </v>
      </c>
      <c r="D20" s="399" t="s">
        <v>272</v>
      </c>
      <c r="E20" s="377" t="s">
        <v>222</v>
      </c>
      <c r="F20" s="377" t="s">
        <v>221</v>
      </c>
      <c r="G20" s="378"/>
      <c r="H20" s="379"/>
    </row>
    <row r="21" spans="2:8" ht="102.75">
      <c r="C21" s="380" t="str">
        <f>+'Introducerea datelor'!B83</f>
        <v xml:space="preserve">M3: Aranjamente contractuale (SR) </v>
      </c>
      <c r="D21" s="377" t="s">
        <v>0</v>
      </c>
      <c r="E21" s="377" t="s">
        <v>257</v>
      </c>
      <c r="F21" s="377" t="s">
        <v>258</v>
      </c>
      <c r="G21" s="378"/>
      <c r="H21" s="379"/>
    </row>
    <row r="22" spans="2:8" ht="42.75">
      <c r="C22" s="380" t="str">
        <f>+'Introducerea datelor'!B88</f>
        <v>M4: Numărul rapoartelor complete recepționate la timp</v>
      </c>
      <c r="D22" s="377" t="s">
        <v>275</v>
      </c>
      <c r="E22" s="377" t="s">
        <v>263</v>
      </c>
      <c r="F22" s="377" t="s">
        <v>223</v>
      </c>
      <c r="G22" s="378"/>
      <c r="H22" s="379"/>
    </row>
    <row r="23" spans="2:8" ht="102.75">
      <c r="C23" s="385" t="str">
        <f>+'Introducerea datelor'!B94</f>
        <v xml:space="preserve">M5: Bugetul și Procurarea produselor medicale, echipamentului medical, medicamentelor și produselor farmaceutice </v>
      </c>
      <c r="D23" s="376" t="s">
        <v>264</v>
      </c>
      <c r="E23" s="388" t="s">
        <v>219</v>
      </c>
      <c r="F23" s="388" t="s">
        <v>224</v>
      </c>
      <c r="G23" s="389"/>
      <c r="H23" s="390"/>
    </row>
    <row r="24" spans="2:8" ht="29.25">
      <c r="C24" s="386"/>
      <c r="D24" s="387" t="s">
        <v>259</v>
      </c>
      <c r="E24" s="391"/>
      <c r="F24" s="391"/>
      <c r="G24" s="392"/>
      <c r="H24" s="393"/>
    </row>
    <row r="25" spans="2:8" ht="142.5">
      <c r="C25" s="380" t="str">
        <f>+'Introducerea datelor'!B107</f>
        <v>M6: Diferență între stocul curent și stocul de siguranță</v>
      </c>
      <c r="D25" s="381" t="s">
        <v>276</v>
      </c>
      <c r="E25" s="382" t="s">
        <v>265</v>
      </c>
      <c r="F25" s="382" t="s">
        <v>266</v>
      </c>
      <c r="G25" s="383"/>
      <c r="H25" s="384"/>
    </row>
    <row r="29" spans="2:8" ht="18.75">
      <c r="C29" s="143"/>
    </row>
    <row r="30" spans="2:8" ht="23.25">
      <c r="C30" s="367" t="s">
        <v>413</v>
      </c>
      <c r="D30" s="367"/>
      <c r="E30" s="367"/>
      <c r="F30" s="367"/>
      <c r="G30" s="367"/>
      <c r="H30" s="367"/>
    </row>
    <row r="32" spans="2:8" ht="15.75">
      <c r="B32" s="140"/>
      <c r="C32" s="368" t="s">
        <v>250</v>
      </c>
      <c r="D32" s="369" t="s">
        <v>459</v>
      </c>
      <c r="E32" s="361" t="s">
        <v>404</v>
      </c>
      <c r="F32" s="361" t="s">
        <v>405</v>
      </c>
      <c r="G32" s="362"/>
      <c r="H32" s="363"/>
    </row>
    <row r="33" spans="1:8" ht="30">
      <c r="A33" s="359">
        <v>1</v>
      </c>
      <c r="B33" s="616" t="s">
        <v>443</v>
      </c>
      <c r="C33" s="335" t="str">
        <f>IFERROR(VLOOKUP(A33,Table1[],4,0),"")</f>
        <v>TB I-3(M): Rata mortalităţii  - Numărul estimat de decese cauzate de TB (toate formele) pe an, la 100,000 persoane</v>
      </c>
      <c r="D33" s="341" t="str">
        <f>IFERROR(VLOOKUP(A33,Table1[],5,0),"")</f>
        <v>Numărător: Numărul de decese cauzate de TB (toate formele) înregistrate într-o anumită perioadă per 100,000 persoane.                                                                                                                                                      Numitor: Numărul total al populației în țară.</v>
      </c>
      <c r="E33" s="336" t="str">
        <f>IFERROR(VLOOKUP(A33,Table1[],6,0),"")</f>
        <v xml:space="preserve">Colectat anual </v>
      </c>
      <c r="F33" s="336" t="str">
        <f>IFERROR(VLOOKUP(A33,Table1[],7,0),"")</f>
        <v>Sistemul R&amp;R TB; Rapoarte trimestriale; SYME TB</v>
      </c>
      <c r="G33" s="339"/>
      <c r="H33" s="340"/>
    </row>
    <row r="34" spans="1:8" ht="28.5">
      <c r="A34" s="359">
        <v>2</v>
      </c>
      <c r="B34" s="616"/>
      <c r="C34" s="335" t="str">
        <f>IFERROR(VLOOKUP(A34,Table1[],4,0),"")</f>
        <v xml:space="preserve">TB I-4(M): Prevalența TB MDR printre cazurile noi de tuberculoză </v>
      </c>
      <c r="D34" s="341" t="str">
        <f>IFERROR(VLOOKUP(A34,Sheet1!$A$2:$E$25,5,0),"")</f>
        <v>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v>
      </c>
      <c r="E34" s="336" t="str">
        <f>IFERROR(VLOOKUP(A34,Table1[],6,0),"")</f>
        <v xml:space="preserve">Colectat anual </v>
      </c>
      <c r="F34" s="336" t="str">
        <f>IFERROR(VLOOKUP(A34,Table1[],7,0),"")</f>
        <v>Sistemul R&amp;R TB; Rapoarte trimestriale; SYME TB</v>
      </c>
      <c r="G34" s="344"/>
      <c r="H34" s="345"/>
    </row>
    <row r="35" spans="1:8" ht="42.75">
      <c r="A35" s="359">
        <v>3</v>
      </c>
      <c r="B35" s="616"/>
      <c r="C35" s="335" t="str">
        <f>IFERROR(VLOOKUP(A35,Table1[],4,0),"")</f>
        <v>HIV I-4: Mortalitatea asociată cu SIDA la 100,000 populaţie</v>
      </c>
      <c r="D35" s="341" t="str">
        <f>IFERROR(VLOOKUP(A35,Sheet1!$A$2:$E$25,5,0),"")</f>
        <v xml:space="preserve">Numărător: Numărul de decese cauzate de HIV/ SIDA într-o anumită perioadă de timp.                                                  Numitor: Adulți (15+): Numărul total al populației (per 100 000 persoane). Copii (&lt;15): Numărul total al populației (per 1 000 nou-născuți).                                      
                                </v>
      </c>
      <c r="E35" s="336" t="str">
        <f>IFERROR(VLOOKUP(A35,Table1[],6,0),"")</f>
        <v xml:space="preserve">Colectat anual </v>
      </c>
      <c r="F35" s="336" t="str">
        <f>IFERROR(VLOOKUP(A35,Table1[],7,0),"")</f>
        <v xml:space="preserve">Registru pacienți/ Registru Național Decese
</v>
      </c>
      <c r="G35" s="342"/>
      <c r="H35" s="343"/>
    </row>
    <row r="36" spans="1:8" ht="42.75">
      <c r="A36" s="359">
        <v>4</v>
      </c>
      <c r="B36" s="616"/>
      <c r="C36" s="335" t="str">
        <f>IFERROR(VLOOKUP(A36,Table1[],4,0),"")</f>
        <v xml:space="preserve">HIV I-9a (M): Procentul BSB care trăiesc cu HIV </v>
      </c>
      <c r="D36" s="341" t="str">
        <f>IFERROR(VLOOKUP(A36,Sheet1!$A$2:$E$25,5,0),"")</f>
        <v xml:space="preserve">Numărător: Numărul de respondenți care au rezultat HIV pozitiv.                                                                                                             
Numitor: Numărul de respondenți testați pentru HIV.                                                   
                                </v>
      </c>
      <c r="E36" s="336" t="str">
        <f>IFERROR(VLOOKUP(A36,Table1[],6,0),"")</f>
        <v>Studiu Bio-comportamental (BSS)</v>
      </c>
      <c r="F36" s="336" t="str">
        <f>IFERROR(VLOOKUP(A36,Table1[],7,0),"")</f>
        <v xml:space="preserve">
BSS. Data de raportare - 31 August 2020
</v>
      </c>
      <c r="G36" s="342"/>
      <c r="H36" s="343"/>
    </row>
    <row r="37" spans="1:8" ht="28.5">
      <c r="A37" s="359">
        <v>5</v>
      </c>
      <c r="B37" s="616"/>
      <c r="C37" s="335" t="str">
        <f>IFERROR(VLOOKUP(A37,Table1[],4,0),"")</f>
        <v>HIV I-10 (M): Procentul LSC care trăiesc cu HIV</v>
      </c>
      <c r="D37" s="341" t="str">
        <f>IFERROR(VLOOKUP(A37,Sheet1!$A$2:$E$25,5,0),"")</f>
        <v xml:space="preserve">Numărător: Numărul de respondenți care au rezultat HIV pozitiv.                                                                                                             
Numitor: Numărul de respondenți testați pentru HIV.                                                                                       </v>
      </c>
      <c r="E37" s="336" t="str">
        <f>IFERROR(VLOOKUP(A37,Table1[],6,0),"")</f>
        <v>Studiu Bio-comportamental (BSS)</v>
      </c>
      <c r="F37" s="336" t="str">
        <f>IFERROR(VLOOKUP(A37,Table1[],7,0),"")</f>
        <v>BSS. Data de raportare - 31 August 2020</v>
      </c>
      <c r="G37" s="342"/>
      <c r="H37" s="343"/>
    </row>
    <row r="38" spans="1:8" ht="30">
      <c r="A38" s="359">
        <v>6</v>
      </c>
      <c r="B38" s="616"/>
      <c r="C38" s="335" t="str">
        <f>IFERROR(VLOOKUP(A38,Table1[],4,0),"")</f>
        <v>HIV I-11 (M): Procentul consumatorilor de droguri injectabile care trăiesc cu HIV</v>
      </c>
      <c r="D38" s="341" t="str">
        <f>IFERROR(VLOOKUP(A38,Sheet1!$A$2:$E$25,5,0),"")</f>
        <v xml:space="preserve">Numărător: Numărul de respondenți care au rezultat HIV pozitiv.
Numitor: Numărul de respondenți testați pentru HIV.    </v>
      </c>
      <c r="E38" s="336" t="str">
        <f>IFERROR(VLOOKUP(A38,Table1[],6,0),"")</f>
        <v>Studiu Bio-comportamental (BSS)</v>
      </c>
      <c r="F38" s="336" t="str">
        <f>IFERROR(VLOOKUP(A38,Table1[],7,0),"")</f>
        <v>BSS. Data de raportare - 31 August 2020</v>
      </c>
      <c r="G38" s="342"/>
      <c r="H38" s="343"/>
    </row>
    <row r="39" spans="1:8" ht="15.75">
      <c r="B39" s="141"/>
      <c r="C39" s="368" t="str">
        <f>IFERROR(VLOOKUP(A39,Table1[],4,0),"")</f>
        <v/>
      </c>
      <c r="D39" s="369" t="str">
        <f>IFERROR(VLOOKUP(A39,Sheet1!$A$2:$E$25,5,0),"")</f>
        <v/>
      </c>
      <c r="E39" s="361" t="str">
        <f>IFERROR(VLOOKUP(A39,Table1[],6,0),"")</f>
        <v/>
      </c>
      <c r="F39" s="361" t="str">
        <f>IFERROR(VLOOKUP(A39,Table1[],7,0),"")</f>
        <v/>
      </c>
      <c r="G39" s="362"/>
      <c r="H39" s="363"/>
    </row>
    <row r="40" spans="1:8" ht="30">
      <c r="A40" s="359">
        <v>7</v>
      </c>
      <c r="B40" s="616" t="s">
        <v>449</v>
      </c>
      <c r="C40" s="335" t="str">
        <f>IFERROR(VLOOKUP(A40,Table1[],4,0),"")</f>
        <v xml:space="preserve">TB O-4(M): Rata succesului tratamentului pacienților cu RR TB și/sau MDR-TB </v>
      </c>
      <c r="D40" s="341" t="str">
        <f>IFERROR(VLOOKUP(A40,Sheet1!$A$2:$E$25,5,0),"")</f>
        <v>Numărător: Numărul cazurilor de TB DR confirmate bacteriologic (RR-TB și/sau MDR-TB), tratate cu succes (vindecate și cu tratamente încheiate).
Numitor: Numărul total de cazuri înregistrate sub DOTS Plus într-o anumită perioadă de timp (dezagregate în funcție de sex și vîrstă &lt;15, 15+).</v>
      </c>
      <c r="E40" s="336" t="str">
        <f>IFERROR(VLOOKUP(A40,Table1[],6,0),"")</f>
        <v xml:space="preserve">Colectat trimestrial și anual </v>
      </c>
      <c r="F40" s="336" t="str">
        <f>IFERROR(VLOOKUP(A40,Table1[],7,0),"")</f>
        <v>Sistemul R&amp;R TB; Rapoarte trimestriale; SYME TB</v>
      </c>
      <c r="G40" s="339"/>
      <c r="H40" s="340"/>
    </row>
    <row r="41" spans="1:8" ht="42.75">
      <c r="A41" s="359">
        <v>8</v>
      </c>
      <c r="B41" s="616"/>
      <c r="C41" s="335" t="str">
        <f>IFERROR(VLOOKUP(A41,Table1[],4,0),"")</f>
        <v>TB O-1a: Rata de notificare a cazurilor de tuberculoză (toate formele) per 100,000 populație</v>
      </c>
      <c r="D41" s="341" t="str">
        <f>IFERROR(VLOOKUP(A41,Sheet1!$A$2:$E$25,5,0),"")</f>
        <v>Numărător: Toate cazurile de tuberculoză (bacteriologic confirmate și diagnosticate clinic, cazuri noi și recidive) notificate către autoritatea națională într-o perioadă anumită de timp per 100,000 populație.
Numitor: Numărul total al populației în țară.</v>
      </c>
      <c r="E41" s="336" t="str">
        <f>IFERROR(VLOOKUP(A41,Table1[],6,0),"")</f>
        <v xml:space="preserve">Colectat trimestrial și anual </v>
      </c>
      <c r="F41" s="336" t="str">
        <f>IFERROR(VLOOKUP(A41,Table1[],7,0),"")</f>
        <v>Sistemul R&amp;R TB; Rapoarte trimestriale; SYME TB</v>
      </c>
      <c r="G41" s="339"/>
      <c r="H41" s="340"/>
    </row>
    <row r="42" spans="1:8" ht="57">
      <c r="A42" s="359">
        <v>9</v>
      </c>
      <c r="B42" s="616"/>
      <c r="C42" s="335" t="str">
        <f>IFERROR(VLOOKUP(A42,Table1[],4,0),"")</f>
        <v>TB O-5(M): Rata de acoperire cu tratament antituberculos</v>
      </c>
      <c r="D42" s="341" t="str">
        <f>IFERROR(VLOOKUP(A42,Sheet1!$A$2:$E$25,5,0),"")</f>
        <v>Numărător: Number de cazuri noi și recidive notificate și acoperite cu tratament, during specified period of time.
Numitor: Numărul estimat de cazuri TB din același an (toate formele TB - bacteriologic confirmate și diagnosticate clinic), din baza de date a OMS (WHO Global TB).</v>
      </c>
      <c r="E42" s="336" t="str">
        <f>IFERROR(VLOOKUP(A42,Table1[],6,0),"")</f>
        <v xml:space="preserve">Colectat anual </v>
      </c>
      <c r="F42" s="336" t="str">
        <f>IFERROR(VLOOKUP(A42,Table1[],7,0),"")</f>
        <v>Sistemul R&amp;R TB; Rapoarte trimestriale; SYME TB
Date estimative ale OMS (WHO Global TB)</v>
      </c>
      <c r="G42" s="339"/>
      <c r="H42" s="338"/>
    </row>
    <row r="43" spans="1:8" ht="57">
      <c r="A43" s="359">
        <v>10</v>
      </c>
      <c r="B43" s="616"/>
      <c r="C43" s="335" t="str">
        <f>IFERROR(VLOOKUP(A43,Table1[],4,0),"")</f>
        <v xml:space="preserve">HIV O-1 (M): Procentul adulţilor şi copiilor HIV infectaţi care se află în tratament 12 luni după iniţierea tratamentului antiretroviral </v>
      </c>
      <c r="D43" s="341" t="str">
        <f>IFERROR(VLOOKUP(A43,Sheet1!$A$2:$E$25,5,0),"")</f>
        <v xml:space="preserve">Numărător: Numărul adulților și copiilor care sunt în viață și în terapie ARV 12 luni după inițierea tratamentului.
Numitor: Numărul total de adulți ăi copii care în perioada de raportare au facut 12 luni de la inițierea TARV.                                                                         
</v>
      </c>
      <c r="E43" s="336" t="str">
        <f>IFERROR(VLOOKUP(A43,Table1[],6,0),"")</f>
        <v xml:space="preserve">Colectat anual </v>
      </c>
      <c r="F43" s="336" t="str">
        <f>IFERROR(VLOOKUP(A43,Table1[],7,0),"")</f>
        <v>Registrele pacienților în TARV (Centrele TARV)</v>
      </c>
      <c r="G43" s="337"/>
      <c r="H43" s="338"/>
    </row>
    <row r="44" spans="1:8" ht="30">
      <c r="A44" s="359">
        <v>11</v>
      </c>
      <c r="B44" s="616"/>
      <c r="C44" s="335" t="str">
        <f>IFERROR(VLOOKUP(A44,Table1[],4,0),"")</f>
        <v>HIV O-4a (M): Procentul BSB care raportează utilizarea prezervativului în timpul ultimului act de sex anal cu partenerul de gen masculin</v>
      </c>
      <c r="D44" s="341" t="str">
        <f>IFERROR(VLOOKUP(A44,Sheet1!$A$2:$E$25,5,0),"")</f>
        <v xml:space="preserve">Numărător: Numărul de respondenți care au raportat utilizarea prezervativului în timpul ultimului act de sex anal.                                                       
Numitor: Numărul de respondenți care au raportat practicarea sexului anal în ultimele 6 luni.                                                                                      </v>
      </c>
      <c r="E44" s="336" t="str">
        <f>IFERROR(VLOOKUP(A44,Table1[],6,0),"")</f>
        <v>Studiu Bio-comportamental (BSS)</v>
      </c>
      <c r="F44" s="336" t="str">
        <f>IFERROR(VLOOKUP(A44,Table1[],7,0),"")</f>
        <v>BSS. Data de raportare - 31 August 2020</v>
      </c>
      <c r="G44" s="337"/>
      <c r="H44" s="338"/>
    </row>
    <row r="45" spans="1:8" ht="30">
      <c r="A45" s="359">
        <v>12</v>
      </c>
      <c r="B45" s="616"/>
      <c r="C45" s="335" t="str">
        <f>IFERROR(VLOOKUP(A45,Table1[],4,0),"")</f>
        <v>HIV O-5 (M): Procentul LSC care raportează utilizarea prezervativului cu ultimul lor client</v>
      </c>
      <c r="D45" s="341" t="str">
        <f>IFERROR(VLOOKUP(A45,Sheet1!$A$2:$E$25,5,0),"")</f>
        <v xml:space="preserve">Numărător: Numărul de respondenți care au raportat utilizarea prezervativului cu ultimul lor client.
Numitor: Numărul de respondenți care au raportat practicarea sexului comercial în ultimele 12 luni.                                                             </v>
      </c>
      <c r="E45" s="336" t="str">
        <f>IFERROR(VLOOKUP(A45,Table1[],6,0),"")</f>
        <v>Studiu Bio-comportamental (BSS)</v>
      </c>
      <c r="F45" s="336" t="str">
        <f>IFERROR(VLOOKUP(A45,Table1[],7,0),"")</f>
        <v>BSS. Data de raportare - 31 August 2020</v>
      </c>
      <c r="G45" s="337"/>
      <c r="H45" s="338"/>
    </row>
    <row r="46" spans="1:8" ht="30">
      <c r="A46" s="359">
        <v>13</v>
      </c>
      <c r="B46" s="412"/>
      <c r="C46" s="335" t="str">
        <f>IFERROR(VLOOKUP(A46,Table1[],4,0),"")</f>
        <v>HIV O-6 (M): Procentul consumatorilor de droguri injectabile care raportează utilizarea setului pentru injectare steril la ultima injectare</v>
      </c>
      <c r="D46" s="341" t="str">
        <f>IFERROR(VLOOKUP(A46,Sheet1!$A$2:$E$25,5,0),"")</f>
        <v xml:space="preserve">Numărător: Numărul de respondenți care au raportat utilizarea setului pentru injectare steril, la ultima consumare de droguri injectabile.
Numitor: Numărul de respondenți care au raportat consumarea de droguri injectabile în ultima lună.                                                                                    </v>
      </c>
      <c r="E46" s="336" t="str">
        <f>IFERROR(VLOOKUP(A46,Table1[],6,0),"")</f>
        <v>Studiu Bio-comportamental (BSS)</v>
      </c>
      <c r="F46" s="336" t="str">
        <f>IFERROR(VLOOKUP(A46,Table1[],7,0),"")</f>
        <v>BSS. Data de raportare - 31 August 2020</v>
      </c>
      <c r="G46" s="337"/>
      <c r="H46" s="338"/>
    </row>
    <row r="47" spans="1:8" ht="15.75">
      <c r="B47" s="141"/>
      <c r="C47" s="368" t="str">
        <f>IFERROR(VLOOKUP(A47,Table1[],4,0),"")</f>
        <v/>
      </c>
      <c r="D47" s="369" t="str">
        <f>IFERROR(VLOOKUP(A47,Sheet1!$A$2:$E$25,5,0),"")</f>
        <v/>
      </c>
      <c r="E47" s="361" t="str">
        <f>IFERROR(VLOOKUP(A47,Table1[],6,0),"")</f>
        <v/>
      </c>
      <c r="F47" s="361" t="str">
        <f>IFERROR(VLOOKUP(A47,Table1[],7,0),"")</f>
        <v/>
      </c>
      <c r="G47" s="362"/>
      <c r="H47" s="363"/>
    </row>
    <row r="48" spans="1:8" ht="57">
      <c r="A48" s="359">
        <v>14</v>
      </c>
      <c r="B48" s="616" t="s">
        <v>457</v>
      </c>
      <c r="C48" s="335" t="str">
        <f>IFERROR(VLOOKUP(A48,Table1[],4,0),"")</f>
        <v>MDR TB-2(M): Numărul cazurilor de TB DR (RR-TB și/sau MDR-TB), confirmate bacteriologic, notificate</v>
      </c>
      <c r="D48" s="341" t="str">
        <f>IFERROR(VLOOKUP(A48,Sheet1!$A$2:$E$25,5,0),"")</f>
        <v xml:space="preserve">Numărător: Numărul de cazuri de TB DR (RR-TB și/sau MDR-TB), confirmate bacteriologic, notificate către autoritatea națională, în perioada raportată.                                                                                              Numitor: Nu este   </v>
      </c>
      <c r="E48" s="336" t="str">
        <f>IFERROR(VLOOKUP(A48,Table1[],6,0),"")</f>
        <v xml:space="preserve">Colectat anual </v>
      </c>
      <c r="F48" s="336" t="str">
        <f>IFERROR(VLOOKUP(A48,Table1[],7,0),"")</f>
        <v xml:space="preserve">Sistemul R&amp;R TB; Rapoarte anuale; Supraveghere de rutină a DR (Drog Rezistenței); SYME TB
</v>
      </c>
      <c r="G48" s="339"/>
      <c r="H48" s="340"/>
    </row>
    <row r="49" spans="1:8" ht="45">
      <c r="A49" s="359">
        <v>15</v>
      </c>
      <c r="B49" s="616"/>
      <c r="C49" s="335" t="str">
        <f>IFERROR(VLOOKUP(A49,Table1[],4,0),"")</f>
        <v xml:space="preserve">MDR TB-3(M): Numărul cazurilor cu tuberculoză drog-rezistentă (RR-TB și/sau MDR-TB), confirmate bacteriologic, care au demarat tratamentul DOTS-Plus în perioada raportată                </v>
      </c>
      <c r="D49" s="341" t="str">
        <f>IFERROR(VLOOKUP(A49,Sheet1!$A$2:$E$25,5,0),"")</f>
        <v xml:space="preserve">Numărător: Numărul cazurilor cu tuberculoză drog-rezistentă (RR-TB și/sau MDR-TB), confirmate bacteriologic, care au demarat tratamentul DOTS-Plus în perioada raportată.
Numitor: Nu este   </v>
      </c>
      <c r="E49" s="336" t="str">
        <f>IFERROR(VLOOKUP(A49,Table1[],6,0),"")</f>
        <v xml:space="preserve">Colectat anual </v>
      </c>
      <c r="F49" s="336" t="str">
        <f>IFERROR(VLOOKUP(A49,Table1[],7,0),"")</f>
        <v xml:space="preserve">Sistemul R&amp;R TB; Rapoarte trimestriale; SYME TB; Modul DOTS Plus </v>
      </c>
      <c r="G49" s="339"/>
      <c r="H49" s="340"/>
    </row>
    <row r="50" spans="1:8" ht="42.75">
      <c r="A50" s="359">
        <v>16</v>
      </c>
      <c r="B50" s="616"/>
      <c r="C50" s="335" t="str">
        <f>IFERROR(VLOOKUP(A50,Table1[],4,0),"")</f>
        <v>MDR TB-4: Rezultatul interimar de abandon al tratamentului cazurilor MDR-TB</v>
      </c>
      <c r="D50" s="341" t="str">
        <f>IFERROR(VLOOKUP(A50,Sheet1!$A$2:$E$25,5,0),"")</f>
        <v xml:space="preserve">Numărător: Numărul pacienţilor cu tuberculoză drog-rezistentă (RR-TB și/sau MDR-TB) care au întrerupt tratamentul DOTS-Plus către luna a 6 de la demararea acestuia.
Numitor: Numărul total de cazuri cu tuberculoză drog-rezistentă (RR-TB și/sau MDR-TB), confirmate bacteriologic, care au demarat tratamentul DOTS-Plus în perioada raportată.         </v>
      </c>
      <c r="E50" s="336" t="str">
        <f>IFERROR(VLOOKUP(A50,Table1[],6,0),"")</f>
        <v xml:space="preserve">Colectat anual </v>
      </c>
      <c r="F50" s="336" t="str">
        <f>IFERROR(VLOOKUP(A50,Table1[],7,0),"")</f>
        <v>Sistemul R&amp;R TB; Rapoarte trimestriale/ anuale; Rapoarte NTP; SYME TB; Modul DOTS Plus</v>
      </c>
      <c r="G50" s="339"/>
      <c r="H50" s="340"/>
    </row>
    <row r="51" spans="1:8" ht="42.75">
      <c r="A51" s="359">
        <v>17</v>
      </c>
      <c r="B51" s="616"/>
      <c r="C51" s="335" t="str">
        <f>IFERROR(VLOOKUP(A51,Table1[],4,0),"")</f>
        <v>MDR TB-8: Numărul cazurilor de XDR TB incluși în tratament în perioada raportată</v>
      </c>
      <c r="D51" s="341" t="str">
        <f>IFERROR(VLOOKUP(A51,Sheet1!$A$2:$E$25,5,0),"")</f>
        <v xml:space="preserve">Numărător: Numărul cazurilor de XDR TB incluși în tratament în perioada raportată.                                    Numitor: Nu este                                                            </v>
      </c>
      <c r="E51" s="336" t="str">
        <f>IFERROR(VLOOKUP(A51,Table1[],6,0),"")</f>
        <v xml:space="preserve">Colectat anual </v>
      </c>
      <c r="F51" s="336" t="str">
        <f>IFERROR(VLOOKUP(A51,Table1[],7,0),"")</f>
        <v>Sistemul R&amp;R TB; Rapoarte trimestriale/ anuale; Rapoarte NTP; SYME TB; Modul DOTS Plus</v>
      </c>
      <c r="G51" s="337"/>
      <c r="H51" s="338"/>
    </row>
    <row r="52" spans="1:8" ht="57">
      <c r="A52" s="359">
        <v>18</v>
      </c>
      <c r="B52" s="616"/>
      <c r="C52" s="335" t="str">
        <f>IFERROR(VLOOKUP(A52,Table1[],4,0),"")</f>
        <v xml:space="preserve">KP-1d(M): Procentul consumatorilor de droguri injectabile acoperiți de programele de prevenire HIV - pachet definit de servicii </v>
      </c>
      <c r="D52" s="341" t="str">
        <f>IFERROR(VLOOKUP(A52,Sheet1!$A$2:$E$25,5,0),"")</f>
        <v xml:space="preserve">Numărător: Numărul de consumatori de droguri injectabile (CDI) care au beneficiat de un pachet definit de servicii de prevenire HIV*.                                                   
Numitor: Numărul estimat de CDI în Rep. Moldova.                                                             
Notă* - CDI care au beneficiat de cel puțin 2 servicii din pachetul sus-menționat, dintre care unul a fost distribuția de seringi. Pachetul de servicii include: distribuția de seringi, distribuția de prezervative, consiliere profesională (psiholog, asistent social/ medical), distribuția de  materiale informaționale, consultare de la egal la egal, servicii VCT (consiliere și testare voluntară).                                                      </v>
      </c>
      <c r="E52" s="336" t="str">
        <f>IFERROR(VLOOKUP(A52,Table1[],6,0),"")</f>
        <v xml:space="preserve">Colectat anual </v>
      </c>
      <c r="F52" s="336" t="str">
        <f>IFERROR(VLOOKUP(A52,Table1[],7,0),"")</f>
        <v xml:space="preserve">Forme de raportare ONG, bazate pe IDU Ident  
</v>
      </c>
      <c r="G52" s="337"/>
      <c r="H52" s="338"/>
    </row>
    <row r="53" spans="1:8" ht="42.75">
      <c r="A53" s="359">
        <v>19</v>
      </c>
      <c r="B53" s="616"/>
      <c r="C53" s="335" t="str">
        <f>IFERROR(VLOOKUP(A53,Table1[],4,0),"")</f>
        <v>KP-3d(M): Procentul consumatorilor de droguri injectabile care au fost testați pentru HIV în perioada de raportare și își cunosc rezultatele</v>
      </c>
      <c r="D53" s="341" t="str">
        <f>IFERROR(VLOOKUP(A53,Sheet1!$A$2:$E$25,5,0),"")</f>
        <v xml:space="preserve">Numărător: Numărul de CDI respondenți, care au fost testați pentru HIV în perioada de raportare și își cunosc rezultatele.
Numitor: Numărul estimat de CDI în Rep. Moldova.      
</v>
      </c>
      <c r="E53" s="336" t="str">
        <f>IFERROR(VLOOKUP(A53,Table1[],6,0),"")</f>
        <v xml:space="preserve">Colectat anual </v>
      </c>
      <c r="F53" s="336" t="str">
        <f>IFERROR(VLOOKUP(A53,Table1[],7,0),"")</f>
        <v xml:space="preserve">Forme de raportare ONG, bazate pe IDU Ident  
</v>
      </c>
      <c r="G53" s="337"/>
      <c r="H53" s="338"/>
    </row>
    <row r="54" spans="1:8" ht="77.25" customHeight="1">
      <c r="A54" s="359">
        <v>20</v>
      </c>
      <c r="B54" s="616"/>
      <c r="C54" s="335" t="str">
        <f>IFERROR(VLOOKUP(A54,Table1[],4,0),"")</f>
        <v xml:space="preserve">KP-1c(M): Procentul LSC acoperiți de programele de prevenire HIV - pachet definit de servicii </v>
      </c>
      <c r="D54" s="341" t="str">
        <f>IFERROR(VLOOKUP(A54,Sheet1!$A$2:$E$25,5,0),"")</f>
        <v xml:space="preserve">Numărător: Numărul de LSC care au beneficiat de un pachet definit de servicii de prevenire HIV*.                                                   Numitor: Numărul estimat de LSC în Rep. Moldova.                                                    
Notă* - LSC care au beneficiat de cel puțin 2 servicii din pachetul sus-menționat, dintre care unul a fost distribuția de prezervative. Pachetul de servicii include: distribuția de prezervative, consiliere profesională (psiholog, asistent social/ medical), distribuția de  materiale informaționale, managementul ITS (infecții cu transmitere sexuală), consultare de la egal la egal, servicii VCT (consiliere și testare voluntară), distribuția de seringi și distribuția de dezinfectanți.                     </v>
      </c>
      <c r="E54" s="336" t="str">
        <f>IFERROR(VLOOKUP(A54,Table1[],6,0),"")</f>
        <v xml:space="preserve">Colectat anual </v>
      </c>
      <c r="F54" s="336" t="str">
        <f>IFERROR(VLOOKUP(A54,Table1[],7,0),"")</f>
        <v xml:space="preserve">Forme de raportare ONG, bazate pe IDU Ident  
</v>
      </c>
      <c r="G54" s="337"/>
      <c r="H54" s="338"/>
    </row>
    <row r="55" spans="1:8" ht="42.75">
      <c r="A55" s="359">
        <v>21</v>
      </c>
      <c r="B55" s="616"/>
      <c r="C55" s="335" t="str">
        <f>IFERROR(VLOOKUP(A55,Table1[],4,0),"")</f>
        <v>KP-3c(M): Procentul LSC care au fost testați pentru HIV în perioada de raportare și își cunosc rezultatele</v>
      </c>
      <c r="D55" s="341" t="str">
        <f>IFERROR(VLOOKUP(A55,Sheet1!$A$2:$E$25,5,0),"")</f>
        <v xml:space="preserve">Numărător: Numărul de LSC care au fost testați pentru HIV în perioada de raportare și își cunosc rezultatele.                                                                                                                                                             Numitor: Numărul estimat de LSC în Rep. Moldova.                                                           </v>
      </c>
      <c r="E55" s="336" t="str">
        <f>IFERROR(VLOOKUP(A55,Table1[],6,0),"")</f>
        <v xml:space="preserve">Colectat anual </v>
      </c>
      <c r="F55" s="336" t="str">
        <f>IFERROR(VLOOKUP(A55,Table1[],7,0),"")</f>
        <v xml:space="preserve">Forme de raportare ONG, bazate pe IDU Ident  
</v>
      </c>
      <c r="G55" s="337"/>
      <c r="H55" s="338"/>
    </row>
    <row r="56" spans="1:8" ht="57">
      <c r="A56" s="359">
        <v>22</v>
      </c>
      <c r="B56" s="616"/>
      <c r="C56" s="335" t="str">
        <f>IFERROR(VLOOKUP(A56,Table1[],4,0),"")</f>
        <v xml:space="preserve">KP-1a(M): Procentul BSB acoperiți de programele de prevenire HIV - pachet definit de servicii </v>
      </c>
      <c r="D56" s="341" t="str">
        <f>IFERROR(VLOOKUP(A56,Sheet1!$A$2:$E$25,5,0),"")</f>
        <v xml:space="preserve">Numărător: Numărul de BSB care au beneficiat de un pachet definit de servicii de prevenire HIV*.                                                   Numitor: Numărul estimat de BSB în Rep. Moldova.                                                    
Notă* - BSB care au beneficiat de cel puțin 2 servicii din pachetul sus-menționat, dintre care unul a fost distribuția de prezervative și/ sau lubrifiante. Pachetul de servicii include: distribuția de prezervative, distribuția de lubrifiante, consiliere psihologică profesională, consiliere IEC (informare, educare, comunicare), consultare de la egal la egal, servicii VCT (consiliere și testare voluntară), distribuția de seringi și distribuția de dezinfectanți.                                           </v>
      </c>
      <c r="E56" s="336" t="str">
        <f>IFERROR(VLOOKUP(A56,Table1[],6,0),"")</f>
        <v xml:space="preserve">Colectat anual </v>
      </c>
      <c r="F56" s="336" t="str">
        <f>IFERROR(VLOOKUP(A56,Table1[],7,0),"")</f>
        <v xml:space="preserve">Forme de raportare ONG, bazate pe IDU Ident
</v>
      </c>
      <c r="G56" s="337"/>
      <c r="H56" s="338"/>
    </row>
    <row r="57" spans="1:8" ht="42.75">
      <c r="A57" s="359">
        <v>23</v>
      </c>
      <c r="B57" s="616"/>
      <c r="C57" s="335" t="str">
        <f>IFERROR(VLOOKUP(A57,Table1[],4,0),"")</f>
        <v>KP-3a(M): Procentul BSB care au fost testați pentru HIV în perioada de raportare și își cunosc rezultatele</v>
      </c>
      <c r="D57" s="341" t="str">
        <f>IFERROR(VLOOKUP(A57,Sheet1!$A$2:$E$25,5,0),"")</f>
        <v xml:space="preserve">Numărător: Numărul de BSB care au fost testați pentru HIV în perioada de raportare și își cunosc rezultatele.
Numitor: Numărul estimat de BSB în Rep. Moldova.   
</v>
      </c>
      <c r="E57" s="336" t="str">
        <f>IFERROR(VLOOKUP(A57,Table1[],6,0),"")</f>
        <v xml:space="preserve">Colectat anual </v>
      </c>
      <c r="F57" s="336" t="str">
        <f>IFERROR(VLOOKUP(A57,Table1[],7,0),"")</f>
        <v xml:space="preserve">Forme de raportare ONG, bazate pe IDU Ident  
</v>
      </c>
      <c r="G57" s="337"/>
      <c r="H57" s="338"/>
    </row>
    <row r="58" spans="1:8" ht="57">
      <c r="A58" s="359">
        <v>24</v>
      </c>
      <c r="B58" s="616"/>
      <c r="C58" s="335" t="str">
        <f>IFERROR(VLOOKUP(A58,Table1[],4,0),"")</f>
        <v xml:space="preserve">TCS-1 (M): Procentul adulţilor şi copiilor care trăiesc cu HIV și urmează tratament antiretroviral </v>
      </c>
      <c r="D58" s="341" t="str">
        <f>IFERROR(VLOOKUP(A58,Sheet1!$A$2:$E$25,5,0),"")</f>
        <v xml:space="preserve">Numărător: Numărul adulților și copiilor cu infecția HIV avansată, care urmează, la etapa actuală, terapie antiretrovirală, în conformitate cu protocoalele de tratament, aprobate la nivel național la sfârșitul perioadei de raportare.
Numitor: Numărul estimat de adulți și copii care trăiesc cu HIV (date - generate de SPECTRUM).                                     
</v>
      </c>
      <c r="E58" s="413" t="str">
        <f>IFERROR(VLOOKUP(A58,Table1[],6,0),"")</f>
        <v xml:space="preserve">Colectat anual </v>
      </c>
      <c r="F58" s="336" t="str">
        <f>IFERROR(VLOOKUP(A58,Table1[],7,0),"")</f>
        <v>Registrele pacienților în TARV (Centrele TARV)</v>
      </c>
      <c r="G58" s="337"/>
      <c r="H58" s="338"/>
    </row>
    <row r="59" spans="1:8" ht="15.75">
      <c r="C59" s="372" t="s">
        <v>234</v>
      </c>
      <c r="D59" s="373" t="s">
        <v>216</v>
      </c>
      <c r="E59" s="373" t="s">
        <v>217</v>
      </c>
      <c r="F59" s="373" t="s">
        <v>218</v>
      </c>
      <c r="G59" s="374"/>
      <c r="H59" s="375"/>
    </row>
    <row r="60" spans="1:8" ht="15.75">
      <c r="C60" s="138"/>
      <c r="D60" s="331"/>
      <c r="E60" s="331"/>
      <c r="F60" s="330"/>
      <c r="G60" s="331"/>
      <c r="H60" s="332"/>
    </row>
    <row r="61" spans="1:8" ht="31.5">
      <c r="C61" s="370" t="s">
        <v>233</v>
      </c>
      <c r="D61" s="371"/>
      <c r="E61" s="371"/>
      <c r="F61" s="364" t="s">
        <v>228</v>
      </c>
      <c r="G61" s="365"/>
      <c r="H61" s="366"/>
    </row>
  </sheetData>
  <sheetProtection sheet="1" objects="1" scenarios="1"/>
  <mergeCells count="3">
    <mergeCell ref="B48:B58"/>
    <mergeCell ref="B40:B45"/>
    <mergeCell ref="B33:B38"/>
  </mergeCells>
  <phoneticPr fontId="23" type="noConversion"/>
  <pageMargins left="0.70866141732283472" right="0.70866141732283472" top="0.74803149606299213" bottom="0.74803149606299213" header="0.31496062992125984" footer="0.31496062992125984"/>
  <pageSetup paperSize="9" scale="37"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AJ179"/>
  <sheetViews>
    <sheetView showGridLines="0" topLeftCell="A118" zoomScale="80" zoomScaleNormal="80" zoomScaleSheetLayoutView="75" workbookViewId="0">
      <selection activeCell="J139" sqref="J139"/>
    </sheetView>
  </sheetViews>
  <sheetFormatPr defaultColWidth="11" defaultRowHeight="15"/>
  <cols>
    <col min="1" max="1" width="5.140625" style="415" customWidth="1"/>
    <col min="2" max="2" width="53" style="3" customWidth="1"/>
    <col min="3" max="3" width="23" style="3" customWidth="1"/>
    <col min="4" max="4" width="19.140625" style="3" customWidth="1"/>
    <col min="5" max="5" width="18.7109375" style="3" customWidth="1"/>
    <col min="6" max="6" width="17.42578125" style="3" customWidth="1"/>
    <col min="7" max="7" width="16.42578125" style="3" customWidth="1"/>
    <col min="8" max="8" width="15.85546875" style="3" customWidth="1"/>
    <col min="9" max="9" width="11.85546875" style="3" customWidth="1"/>
    <col min="10" max="10" width="13.28515625" style="3" customWidth="1"/>
    <col min="11" max="11" width="12" style="3" customWidth="1"/>
    <col min="12" max="12" width="15.28515625" style="3" customWidth="1"/>
    <col min="13" max="13" width="15.42578125" style="3" customWidth="1"/>
    <col min="14" max="14" width="14.28515625" style="238" customWidth="1"/>
    <col min="15" max="15" width="20.42578125" style="238" customWidth="1"/>
    <col min="16" max="16" width="19.42578125" style="3" customWidth="1"/>
    <col min="17" max="17" width="16.140625" style="3" customWidth="1"/>
    <col min="18" max="18" width="13.7109375" style="3" customWidth="1"/>
    <col min="19" max="19" width="13.42578125" style="3" customWidth="1"/>
    <col min="20" max="20" width="14.85546875" style="3" customWidth="1"/>
    <col min="21" max="21" width="16" style="3" customWidth="1"/>
    <col min="22" max="22" width="11.42578125" style="3" hidden="1" customWidth="1"/>
    <col min="23" max="23" width="15.5703125" style="3" customWidth="1"/>
    <col min="24" max="24" width="11.42578125" style="3" customWidth="1"/>
    <col min="25" max="25" width="2.28515625" style="3" customWidth="1"/>
    <col min="26" max="26" width="1.140625" style="3" customWidth="1"/>
    <col min="27" max="27" width="3.28515625" style="3" customWidth="1"/>
    <col min="28" max="28" width="17" style="3" customWidth="1"/>
    <col min="29" max="29" width="15" style="3" customWidth="1"/>
    <col min="30" max="30" width="11.42578125" style="3" customWidth="1"/>
    <col min="31" max="31" width="13.5703125" style="3" customWidth="1"/>
    <col min="32" max="32" width="16.85546875" style="3" customWidth="1"/>
    <col min="33" max="33" width="11.42578125" style="3" customWidth="1"/>
    <col min="34" max="34" width="2" style="238" customWidth="1"/>
    <col min="35" max="35" width="3.28515625" style="238" customWidth="1"/>
    <col min="36" max="36" width="2.28515625" style="238" customWidth="1"/>
    <col min="37" max="37" width="40.7109375" style="3" customWidth="1"/>
    <col min="38" max="38" width="15.42578125" style="3" customWidth="1"/>
    <col min="39" max="16384" width="11" style="3"/>
  </cols>
  <sheetData>
    <row r="1" spans="1:13" ht="29.25" customHeight="1"/>
    <row r="2" spans="1:13" ht="15.75" customHeight="1">
      <c r="B2" s="696" t="s">
        <v>277</v>
      </c>
      <c r="C2" s="696"/>
      <c r="D2" s="696"/>
      <c r="E2" s="696"/>
      <c r="F2" s="696"/>
      <c r="G2" s="696"/>
      <c r="H2" s="696"/>
      <c r="I2" s="696"/>
      <c r="J2" s="696"/>
      <c r="K2" s="156"/>
      <c r="L2" s="156"/>
      <c r="M2" s="156"/>
    </row>
    <row r="3" spans="1:13" ht="4.5" customHeight="1"/>
    <row r="4" spans="1:13" ht="34.5" customHeight="1">
      <c r="B4" s="420" t="s">
        <v>278</v>
      </c>
      <c r="C4" s="697" t="s">
        <v>155</v>
      </c>
      <c r="D4" s="698"/>
      <c r="E4" s="685" t="s">
        <v>282</v>
      </c>
      <c r="F4" s="685"/>
      <c r="G4" s="699" t="s">
        <v>430</v>
      </c>
      <c r="H4" s="700"/>
      <c r="I4" s="700"/>
      <c r="J4" s="701"/>
    </row>
    <row r="5" spans="1:13" ht="3" customHeight="1">
      <c r="B5" s="420"/>
      <c r="E5" s="157"/>
      <c r="F5" s="157"/>
    </row>
    <row r="6" spans="1:13">
      <c r="B6" s="420" t="s">
        <v>279</v>
      </c>
      <c r="C6" s="697" t="s">
        <v>429</v>
      </c>
      <c r="D6" s="698"/>
      <c r="E6" s="685" t="s">
        <v>283</v>
      </c>
      <c r="F6" s="685"/>
      <c r="G6" s="439" t="s">
        <v>50</v>
      </c>
      <c r="H6" s="420" t="s">
        <v>284</v>
      </c>
      <c r="I6" s="706">
        <v>11931624</v>
      </c>
      <c r="J6" s="707"/>
    </row>
    <row r="7" spans="1:13" ht="3" customHeight="1">
      <c r="B7" s="420"/>
      <c r="E7" s="157"/>
      <c r="F7" s="157"/>
      <c r="H7" s="420"/>
    </row>
    <row r="8" spans="1:13">
      <c r="B8" s="420" t="s">
        <v>280</v>
      </c>
      <c r="C8" s="697" t="s">
        <v>417</v>
      </c>
      <c r="D8" s="698"/>
      <c r="E8" s="158"/>
      <c r="F8" s="421" t="s">
        <v>285</v>
      </c>
      <c r="G8" s="440" t="s">
        <v>268</v>
      </c>
      <c r="H8" s="421" t="s">
        <v>286</v>
      </c>
      <c r="I8" s="697" t="s">
        <v>268</v>
      </c>
      <c r="J8" s="698"/>
    </row>
    <row r="9" spans="1:13" ht="3" customHeight="1">
      <c r="B9" s="157"/>
      <c r="E9" s="157"/>
      <c r="F9" s="157"/>
    </row>
    <row r="10" spans="1:13">
      <c r="B10" s="420" t="s">
        <v>365</v>
      </c>
      <c r="C10" s="704">
        <v>43101</v>
      </c>
      <c r="D10" s="705"/>
      <c r="E10" s="650" t="s">
        <v>287</v>
      </c>
      <c r="F10" s="651"/>
      <c r="G10" s="697" t="s">
        <v>37</v>
      </c>
      <c r="H10" s="709"/>
      <c r="I10" s="709"/>
      <c r="J10" s="698"/>
    </row>
    <row r="11" spans="1:13" ht="5.25" customHeight="1"/>
    <row r="12" spans="1:13" ht="15" customHeight="1">
      <c r="B12" s="420" t="s">
        <v>281</v>
      </c>
      <c r="C12" s="710" t="s">
        <v>268</v>
      </c>
      <c r="D12" s="710"/>
      <c r="E12" s="650" t="s">
        <v>231</v>
      </c>
      <c r="F12" s="685"/>
      <c r="G12" s="708" t="s">
        <v>418</v>
      </c>
      <c r="H12" s="708"/>
      <c r="I12" s="708"/>
      <c r="J12" s="708"/>
    </row>
    <row r="13" spans="1:13" ht="5.25" customHeight="1"/>
    <row r="14" spans="1:13" ht="15.75" customHeight="1">
      <c r="B14" s="696" t="s">
        <v>288</v>
      </c>
      <c r="C14" s="696"/>
      <c r="D14" s="696"/>
      <c r="E14" s="696"/>
      <c r="F14" s="696"/>
      <c r="G14" s="696"/>
      <c r="H14" s="696"/>
      <c r="I14" s="696"/>
      <c r="J14" s="696"/>
    </row>
    <row r="15" spans="1:13" ht="12" customHeight="1"/>
    <row r="16" spans="1:13" s="238" customFormat="1" ht="30" customHeight="1">
      <c r="A16" s="416"/>
      <c r="B16" s="239" t="s">
        <v>289</v>
      </c>
      <c r="C16" s="610" t="s">
        <v>62</v>
      </c>
      <c r="D16" s="273" t="s">
        <v>290</v>
      </c>
      <c r="E16" s="333">
        <f>VLOOKUP(C16,Setup!$F$8:$H$21,2,0)</f>
        <v>43466</v>
      </c>
      <c r="F16" s="274" t="s">
        <v>291</v>
      </c>
      <c r="G16" s="333">
        <f>VLOOKUP(C16,Setup!$F$8:$H$21,3,0)</f>
        <v>43646</v>
      </c>
      <c r="H16" s="702" t="s">
        <v>407</v>
      </c>
      <c r="I16" s="703"/>
      <c r="J16" s="329">
        <v>43735</v>
      </c>
    </row>
    <row r="17" spans="2:35" ht="3" customHeight="1"/>
    <row r="18" spans="2:35">
      <c r="B18" s="694" t="s">
        <v>368</v>
      </c>
      <c r="C18" s="651"/>
      <c r="D18" s="695" t="s">
        <v>417</v>
      </c>
      <c r="E18" s="695"/>
      <c r="F18" s="695"/>
      <c r="G18" s="159"/>
      <c r="H18" s="159"/>
      <c r="I18" s="159"/>
      <c r="J18" s="159"/>
    </row>
    <row r="19" spans="2:35" ht="30" customHeight="1"/>
    <row r="20" spans="2:35" ht="21" customHeight="1"/>
    <row r="21" spans="2:35" ht="15.75" customHeight="1">
      <c r="B21" s="696" t="s">
        <v>292</v>
      </c>
      <c r="C21" s="696"/>
      <c r="D21" s="696"/>
      <c r="E21" s="696"/>
      <c r="F21" s="696"/>
      <c r="G21" s="696"/>
      <c r="H21" s="696"/>
      <c r="I21" s="696"/>
      <c r="J21" s="696"/>
    </row>
    <row r="22" spans="2:35">
      <c r="B22" s="157" t="s">
        <v>409</v>
      </c>
      <c r="E22" s="160"/>
      <c r="F22" s="160"/>
      <c r="I22" s="160"/>
      <c r="J22" s="160"/>
    </row>
    <row r="23" spans="2:35" ht="3" customHeight="1"/>
    <row r="24" spans="2:35" ht="15.75" thickBot="1">
      <c r="B24" s="420" t="s">
        <v>293</v>
      </c>
      <c r="C24" s="205"/>
      <c r="D24" s="685" t="s">
        <v>294</v>
      </c>
      <c r="E24" s="685"/>
      <c r="F24" s="206"/>
      <c r="G24" s="685" t="s">
        <v>295</v>
      </c>
      <c r="H24" s="685"/>
      <c r="I24" s="692"/>
      <c r="J24" s="693"/>
      <c r="N24" s="15"/>
    </row>
    <row r="25" spans="2:35" ht="26.25" customHeight="1" thickBot="1">
      <c r="B25" s="56" t="s">
        <v>293</v>
      </c>
      <c r="C25" s="57"/>
      <c r="D25" s="57"/>
      <c r="E25" s="57"/>
      <c r="F25" s="57"/>
      <c r="G25" s="57"/>
      <c r="H25" s="147"/>
      <c r="I25" s="58"/>
      <c r="J25" s="58"/>
      <c r="K25" s="147" t="s">
        <v>408</v>
      </c>
      <c r="L25" s="57"/>
      <c r="M25" s="57"/>
      <c r="N25" s="212"/>
      <c r="O25" s="60"/>
      <c r="AI25" s="76"/>
    </row>
    <row r="26" spans="2:35">
      <c r="B26" s="683" t="s">
        <v>296</v>
      </c>
      <c r="C26" s="684"/>
      <c r="D26" s="441" t="s">
        <v>2</v>
      </c>
      <c r="E26" s="60"/>
      <c r="F26" s="60"/>
      <c r="G26" s="60"/>
      <c r="H26" s="60"/>
      <c r="I26" s="60"/>
      <c r="J26" s="61"/>
      <c r="K26" s="60"/>
      <c r="L26" s="60"/>
      <c r="M26" s="60"/>
      <c r="N26" s="60"/>
      <c r="O26" s="60"/>
      <c r="AI26" s="76"/>
    </row>
    <row r="27" spans="2:35" ht="18.75">
      <c r="B27" s="59" t="s">
        <v>297</v>
      </c>
      <c r="C27" s="60"/>
      <c r="D27" s="60"/>
      <c r="E27" s="60"/>
      <c r="F27" s="60"/>
      <c r="G27" s="60"/>
      <c r="H27" s="60"/>
      <c r="I27" s="60"/>
      <c r="J27" s="61"/>
      <c r="K27" s="60"/>
      <c r="L27" s="60"/>
      <c r="M27" s="60"/>
      <c r="N27" s="60"/>
      <c r="O27" s="60"/>
      <c r="AI27" s="76"/>
    </row>
    <row r="28" spans="2:35" ht="15.75" thickBot="1">
      <c r="P28" s="238"/>
      <c r="Q28" s="238"/>
    </row>
    <row r="29" spans="2:35" ht="15.75" thickBot="1">
      <c r="B29" s="686" t="s">
        <v>301</v>
      </c>
      <c r="C29" s="687"/>
      <c r="D29" s="687"/>
      <c r="E29" s="687"/>
      <c r="F29" s="687"/>
      <c r="G29" s="687"/>
      <c r="H29" s="687"/>
      <c r="I29" s="687"/>
      <c r="J29" s="687"/>
      <c r="K29" s="687"/>
      <c r="L29" s="687"/>
      <c r="M29" s="687"/>
      <c r="N29" s="688"/>
      <c r="P29" s="442"/>
      <c r="Q29" s="266"/>
      <c r="R29" s="443">
        <f>+C33</f>
        <v>2030552.71</v>
      </c>
      <c r="S29" s="444"/>
    </row>
    <row r="30" spans="2:35">
      <c r="B30" s="62" t="s">
        <v>298</v>
      </c>
      <c r="C30" s="445" t="s">
        <v>60</v>
      </c>
      <c r="D30" s="445" t="s">
        <v>61</v>
      </c>
      <c r="E30" s="445" t="s">
        <v>62</v>
      </c>
      <c r="F30" s="445" t="s">
        <v>63</v>
      </c>
      <c r="G30" s="445" t="s">
        <v>70</v>
      </c>
      <c r="H30" s="445" t="s">
        <v>71</v>
      </c>
      <c r="I30" s="445" t="s">
        <v>72</v>
      </c>
      <c r="J30" s="445" t="s">
        <v>73</v>
      </c>
      <c r="K30" s="445" t="s">
        <v>74</v>
      </c>
      <c r="L30" s="445" t="s">
        <v>75</v>
      </c>
      <c r="M30" s="445" t="s">
        <v>76</v>
      </c>
      <c r="N30" s="446" t="s">
        <v>230</v>
      </c>
      <c r="O30" s="447" t="s">
        <v>304</v>
      </c>
      <c r="P30" s="442"/>
      <c r="Q30" s="266"/>
      <c r="R30" s="443">
        <f>+D33</f>
        <v>4014018.55</v>
      </c>
      <c r="S30" s="444"/>
    </row>
    <row r="31" spans="2:35">
      <c r="B31" s="154" t="str">
        <f>CONCATENATE("Buget (in ",'Introducerea datelor'!$D$26,")")</f>
        <v>Buget (in €)</v>
      </c>
      <c r="C31" s="275">
        <v>2030552.71</v>
      </c>
      <c r="D31" s="275">
        <v>1983465.84</v>
      </c>
      <c r="E31" s="201">
        <v>2312819.5099999998</v>
      </c>
      <c r="F31" s="258"/>
      <c r="G31" s="201"/>
      <c r="H31" s="258"/>
      <c r="I31" s="258"/>
      <c r="J31" s="201"/>
      <c r="K31" s="201"/>
      <c r="L31" s="201"/>
      <c r="M31" s="201"/>
      <c r="N31" s="201"/>
      <c r="O31" s="627">
        <f>LOOKUP(2,1/(C34:N34&gt;0),C34:N34)/I6</f>
        <v>0.53393531425395235</v>
      </c>
      <c r="P31" s="448"/>
      <c r="Q31" s="266"/>
      <c r="R31" s="443">
        <f>+E33</f>
        <v>6326838.0599999996</v>
      </c>
      <c r="S31" s="444"/>
    </row>
    <row r="32" spans="2:35">
      <c r="B32" s="62" t="str">
        <f>CONCATENATE("Debursări de către FG (in ", $D$26,")")</f>
        <v>Debursări de către FG (in €)</v>
      </c>
      <c r="C32" s="275">
        <v>2829411.8</v>
      </c>
      <c r="D32" s="275">
        <v>1184141.73</v>
      </c>
      <c r="E32" s="315">
        <v>2357161.88</v>
      </c>
      <c r="F32" s="316"/>
      <c r="G32" s="202"/>
      <c r="H32" s="259"/>
      <c r="I32" s="258"/>
      <c r="J32" s="201"/>
      <c r="K32" s="201"/>
      <c r="L32" s="201"/>
      <c r="M32" s="201"/>
      <c r="N32" s="201"/>
      <c r="O32" s="628"/>
      <c r="P32" s="442"/>
      <c r="Q32" s="266"/>
      <c r="R32" s="443">
        <f>+F33</f>
        <v>0</v>
      </c>
      <c r="S32" s="444"/>
    </row>
    <row r="33" spans="2:35">
      <c r="B33" s="63" t="s">
        <v>299</v>
      </c>
      <c r="C33" s="449">
        <f>C31</f>
        <v>2030552.71</v>
      </c>
      <c r="D33" s="260">
        <f>IF(AND(D31=0,D32=0),0,+C33+D31)</f>
        <v>4014018.55</v>
      </c>
      <c r="E33" s="260">
        <f t="shared" ref="E33:G33" si="0">IF(AND(E31=0,E32=0),0,+D33+E31)</f>
        <v>6326838.0599999996</v>
      </c>
      <c r="F33" s="260">
        <f t="shared" si="0"/>
        <v>0</v>
      </c>
      <c r="G33" s="260">
        <f t="shared" si="0"/>
        <v>0</v>
      </c>
      <c r="H33" s="260">
        <f>IF(AND(H31=0,H32=0),0,+G33+H31)</f>
        <v>0</v>
      </c>
      <c r="I33" s="260">
        <f t="shared" ref="I33:N33" si="1">IF(AND(I31=0,I32=0),0,+H33+I31)</f>
        <v>0</v>
      </c>
      <c r="J33" s="203">
        <f t="shared" si="1"/>
        <v>0</v>
      </c>
      <c r="K33" s="203">
        <f t="shared" si="1"/>
        <v>0</v>
      </c>
      <c r="L33" s="203">
        <f t="shared" si="1"/>
        <v>0</v>
      </c>
      <c r="M33" s="203">
        <f t="shared" si="1"/>
        <v>0</v>
      </c>
      <c r="N33" s="203">
        <f t="shared" si="1"/>
        <v>0</v>
      </c>
      <c r="O33" s="628"/>
      <c r="P33" s="450"/>
      <c r="Q33" s="266"/>
      <c r="R33" s="443">
        <f>+G33</f>
        <v>0</v>
      </c>
      <c r="S33" s="444"/>
    </row>
    <row r="34" spans="2:35" ht="15.75" thickBot="1">
      <c r="B34" s="64" t="s">
        <v>300</v>
      </c>
      <c r="C34" s="276">
        <f>C32</f>
        <v>2829411.8</v>
      </c>
      <c r="D34" s="261">
        <f t="shared" ref="D34" si="2">IF(AND(D31=0,D32=0),0,+C34+D32)</f>
        <v>4013553.53</v>
      </c>
      <c r="E34" s="261">
        <f t="shared" ref="E34" si="3">IF(AND(E31=0,E32=0),0,+D34+E32)</f>
        <v>6370715.4100000001</v>
      </c>
      <c r="F34" s="261">
        <f t="shared" ref="F34" si="4">IF(AND(F31=0,F32=0),0,+E34+F32)</f>
        <v>0</v>
      </c>
      <c r="G34" s="261">
        <f t="shared" ref="G34" si="5">IF(AND(G31=0,G32=0),0,+F34+G32)</f>
        <v>0</v>
      </c>
      <c r="H34" s="261">
        <f t="shared" ref="H34:N34" si="6">IF(AND(H31=0,H32=0),0,+G34+H32)</f>
        <v>0</v>
      </c>
      <c r="I34" s="261">
        <f t="shared" si="6"/>
        <v>0</v>
      </c>
      <c r="J34" s="204">
        <f t="shared" si="6"/>
        <v>0</v>
      </c>
      <c r="K34" s="204">
        <f t="shared" si="6"/>
        <v>0</v>
      </c>
      <c r="L34" s="204">
        <f t="shared" si="6"/>
        <v>0</v>
      </c>
      <c r="M34" s="204">
        <f t="shared" si="6"/>
        <v>0</v>
      </c>
      <c r="N34" s="204">
        <f t="shared" si="6"/>
        <v>0</v>
      </c>
      <c r="O34" s="629"/>
      <c r="P34" s="450"/>
      <c r="Q34" s="266"/>
      <c r="R34" s="443">
        <f>+H33</f>
        <v>0</v>
      </c>
      <c r="S34" s="444"/>
    </row>
    <row r="35" spans="2:35">
      <c r="C35" s="189">
        <f>+IF(AND(C30=$C$16,C33&lt;&gt;0),C34/C33,0)</f>
        <v>0</v>
      </c>
      <c r="D35" s="189">
        <f t="shared" ref="D35:N35" si="7">+IF(AND(D30=$C$16,D33&lt;&gt;0),D34/D33,0)</f>
        <v>0</v>
      </c>
      <c r="E35" s="189">
        <f t="shared" si="7"/>
        <v>1.0069351150738952</v>
      </c>
      <c r="F35" s="189">
        <f>+IF(AND(F30=$C$16,F33&lt;&gt;0),F34/F33,0)</f>
        <v>0</v>
      </c>
      <c r="G35" s="189">
        <f t="shared" si="7"/>
        <v>0</v>
      </c>
      <c r="H35" s="189">
        <f t="shared" si="7"/>
        <v>0</v>
      </c>
      <c r="I35" s="189">
        <f t="shared" si="7"/>
        <v>0</v>
      </c>
      <c r="J35" s="189">
        <f t="shared" si="7"/>
        <v>0</v>
      </c>
      <c r="K35" s="189">
        <f t="shared" si="7"/>
        <v>0</v>
      </c>
      <c r="L35" s="189">
        <f t="shared" si="7"/>
        <v>0</v>
      </c>
      <c r="M35" s="189">
        <f t="shared" si="7"/>
        <v>0</v>
      </c>
      <c r="N35" s="189">
        <f t="shared" si="7"/>
        <v>0</v>
      </c>
      <c r="O35" s="313"/>
      <c r="P35" s="307"/>
      <c r="Q35" s="266"/>
      <c r="R35" s="443">
        <f>+I33</f>
        <v>0</v>
      </c>
      <c r="S35" s="444"/>
    </row>
    <row r="36" spans="2:35" ht="18.75">
      <c r="B36" s="59" t="s">
        <v>302</v>
      </c>
      <c r="E36" s="196"/>
      <c r="G36" s="145"/>
      <c r="N36" s="451"/>
      <c r="O36" s="451"/>
      <c r="P36" s="238"/>
      <c r="Q36" s="238"/>
      <c r="AI36" s="15"/>
    </row>
    <row r="37" spans="2:35" ht="15.75" thickBot="1">
      <c r="M37" s="430"/>
      <c r="N37" s="452"/>
      <c r="O37" s="452"/>
      <c r="P37" s="238"/>
      <c r="Q37" s="238"/>
    </row>
    <row r="38" spans="2:35" ht="30" customHeight="1">
      <c r="B38" s="207" t="s">
        <v>303</v>
      </c>
      <c r="C38" s="208" t="str">
        <f>CONCATENATE("Bugetul Cumulativ (în ",'Introducerea datelor'!$D$26,")")</f>
        <v>Bugetul Cumulativ (în €)</v>
      </c>
      <c r="D38" s="209" t="str">
        <f>CONCATENATE("Cheltuielile Cumulative (în ",'Introducerea datelor'!$D$26,")")</f>
        <v>Cheltuielile Cumulative (în €)</v>
      </c>
      <c r="E38" s="314" t="s">
        <v>427</v>
      </c>
      <c r="F38" s="161" t="s">
        <v>428</v>
      </c>
      <c r="J38" s="68"/>
      <c r="K38" s="68"/>
      <c r="N38" s="3"/>
      <c r="O38" s="3"/>
      <c r="Q38" s="238"/>
      <c r="AE38" s="15"/>
      <c r="AF38" s="238"/>
    </row>
    <row r="39" spans="2:35" ht="46.5" customHeight="1">
      <c r="B39" s="453" t="s">
        <v>434</v>
      </c>
      <c r="C39" s="481">
        <v>445836.68</v>
      </c>
      <c r="D39" s="482">
        <v>339707.77</v>
      </c>
      <c r="E39" s="415">
        <f>C39-D39</f>
        <v>106128.90999999997</v>
      </c>
      <c r="F39" s="319">
        <f>IFERROR(D39/C39,"")</f>
        <v>0.76195563361901941</v>
      </c>
      <c r="G39" s="198"/>
      <c r="J39" s="69"/>
      <c r="K39" s="69"/>
      <c r="N39" s="3"/>
      <c r="O39" s="3"/>
      <c r="Q39" s="238"/>
      <c r="AE39" s="15"/>
      <c r="AF39" s="238"/>
    </row>
    <row r="40" spans="2:35" ht="49.5" customHeight="1">
      <c r="B40" s="453" t="s">
        <v>435</v>
      </c>
      <c r="C40" s="481">
        <v>1964201.69</v>
      </c>
      <c r="D40" s="482">
        <v>1636347.1</v>
      </c>
      <c r="E40" s="415">
        <f t="shared" ref="E40:E49" si="8">C40-D40</f>
        <v>327854.58999999985</v>
      </c>
      <c r="F40" s="319">
        <f t="shared" ref="F40:F49" si="9">IFERROR(D40/C40,"")</f>
        <v>0.83308506877417465</v>
      </c>
      <c r="G40" s="198"/>
      <c r="K40" s="69"/>
      <c r="N40" s="3"/>
      <c r="O40" s="3"/>
      <c r="Q40" s="238"/>
      <c r="AE40" s="15"/>
      <c r="AF40" s="238"/>
    </row>
    <row r="41" spans="2:35" ht="48" customHeight="1">
      <c r="B41" s="453" t="s">
        <v>420</v>
      </c>
      <c r="C41" s="483">
        <v>103304.87</v>
      </c>
      <c r="D41" s="482">
        <v>76500.12</v>
      </c>
      <c r="E41" s="415">
        <f t="shared" si="8"/>
        <v>26804.75</v>
      </c>
      <c r="F41" s="319">
        <f t="shared" si="9"/>
        <v>0.74052772149076806</v>
      </c>
      <c r="K41" s="69"/>
      <c r="N41" s="3"/>
      <c r="O41" s="3"/>
      <c r="Q41" s="238"/>
      <c r="AE41" s="15"/>
      <c r="AF41" s="238"/>
    </row>
    <row r="42" spans="2:35" ht="48" customHeight="1">
      <c r="B42" s="453" t="s">
        <v>436</v>
      </c>
      <c r="C42" s="483">
        <v>2021391.77</v>
      </c>
      <c r="D42" s="482">
        <v>1792519.73</v>
      </c>
      <c r="E42" s="415">
        <f t="shared" ref="E42:E44" si="10">C42-D42</f>
        <v>228872.04000000004</v>
      </c>
      <c r="F42" s="319">
        <f t="shared" si="9"/>
        <v>0.8867750213507597</v>
      </c>
      <c r="K42" s="69"/>
      <c r="N42" s="3"/>
      <c r="O42" s="3"/>
      <c r="Q42" s="238"/>
      <c r="AE42" s="15"/>
      <c r="AF42" s="238"/>
    </row>
    <row r="43" spans="2:35" ht="48" customHeight="1">
      <c r="B43" s="453" t="s">
        <v>437</v>
      </c>
      <c r="C43" s="483">
        <v>1176804.3999999999</v>
      </c>
      <c r="D43" s="482">
        <v>1195365.51</v>
      </c>
      <c r="E43" s="415">
        <f t="shared" si="10"/>
        <v>-18561.110000000102</v>
      </c>
      <c r="F43" s="319">
        <f t="shared" si="9"/>
        <v>1.0157724682198674</v>
      </c>
      <c r="K43" s="69"/>
      <c r="N43" s="3"/>
      <c r="O43" s="3"/>
      <c r="Q43" s="238"/>
      <c r="AE43" s="15"/>
      <c r="AF43" s="238"/>
    </row>
    <row r="44" spans="2:35" ht="48" customHeight="1">
      <c r="B44" s="453" t="s">
        <v>438</v>
      </c>
      <c r="C44" s="483">
        <v>104387.5</v>
      </c>
      <c r="D44" s="482">
        <v>114433.02</v>
      </c>
      <c r="E44" s="415">
        <f t="shared" si="10"/>
        <v>-10045.520000000004</v>
      </c>
      <c r="F44" s="319">
        <f t="shared" si="9"/>
        <v>1.0962329780864568</v>
      </c>
      <c r="H44" s="430"/>
      <c r="K44" s="69"/>
      <c r="N44" s="3"/>
      <c r="O44" s="3"/>
      <c r="Q44" s="238"/>
      <c r="AE44" s="15"/>
      <c r="AF44" s="238"/>
    </row>
    <row r="45" spans="2:35" ht="24.75" customHeight="1">
      <c r="B45" s="454" t="s">
        <v>421</v>
      </c>
      <c r="C45" s="483">
        <v>510911.15</v>
      </c>
      <c r="D45" s="482">
        <v>536256.03</v>
      </c>
      <c r="E45" s="415">
        <f t="shared" si="8"/>
        <v>-25344.880000000005</v>
      </c>
      <c r="F45" s="319">
        <f t="shared" si="9"/>
        <v>1.0496072164406669</v>
      </c>
      <c r="K45" s="15"/>
      <c r="N45" s="3"/>
      <c r="O45" s="3"/>
      <c r="Q45" s="238"/>
      <c r="AE45" s="15"/>
      <c r="AF45" s="238"/>
    </row>
    <row r="46" spans="2:35" ht="26.25" customHeight="1">
      <c r="B46" s="454" t="s">
        <v>426</v>
      </c>
      <c r="C46" s="483"/>
      <c r="D46" s="482"/>
      <c r="E46" s="415"/>
      <c r="F46" s="319" t="str">
        <f t="shared" si="9"/>
        <v/>
      </c>
      <c r="K46" s="15"/>
      <c r="N46" s="3"/>
      <c r="O46" s="3"/>
      <c r="Q46" s="238"/>
      <c r="AE46" s="15"/>
      <c r="AF46" s="238"/>
    </row>
    <row r="47" spans="2:35">
      <c r="B47" s="454" t="s">
        <v>411</v>
      </c>
      <c r="C47" s="483"/>
      <c r="D47" s="482">
        <v>24384.73</v>
      </c>
      <c r="E47" s="415">
        <f t="shared" si="8"/>
        <v>-24384.73</v>
      </c>
      <c r="F47" s="319" t="str">
        <f t="shared" si="9"/>
        <v/>
      </c>
      <c r="J47" s="15"/>
      <c r="K47" s="15"/>
      <c r="N47" s="3"/>
      <c r="O47" s="3"/>
      <c r="Q47" s="238"/>
      <c r="AE47" s="238"/>
      <c r="AF47" s="238"/>
    </row>
    <row r="48" spans="2:35">
      <c r="B48" s="455"/>
      <c r="C48" s="484"/>
      <c r="D48" s="485"/>
      <c r="E48" s="415"/>
      <c r="F48" s="319" t="str">
        <f t="shared" si="9"/>
        <v/>
      </c>
      <c r="J48" s="15"/>
      <c r="K48" s="15"/>
      <c r="N48" s="3"/>
      <c r="O48" s="3"/>
      <c r="Q48" s="238"/>
      <c r="AE48" s="238"/>
      <c r="AF48" s="238"/>
    </row>
    <row r="49" spans="2:35" ht="15.75" thickBot="1">
      <c r="B49" s="210" t="s">
        <v>39</v>
      </c>
      <c r="C49" s="310">
        <f>SUM(C39:C48)</f>
        <v>6326838.0600000005</v>
      </c>
      <c r="D49" s="317">
        <f>SUM(D39:D48)</f>
        <v>5715514.0100000007</v>
      </c>
      <c r="E49" s="415">
        <f t="shared" si="8"/>
        <v>611324.04999999981</v>
      </c>
      <c r="F49" s="319">
        <f t="shared" si="9"/>
        <v>0.90337605543202415</v>
      </c>
      <c r="N49" s="127"/>
      <c r="O49" s="443"/>
      <c r="P49" s="444"/>
      <c r="Q49" s="238"/>
      <c r="AE49" s="238"/>
      <c r="AF49" s="238"/>
    </row>
    <row r="50" spans="2:35">
      <c r="C50" s="124"/>
      <c r="D50" s="124"/>
      <c r="E50" s="150"/>
      <c r="F50" s="124"/>
      <c r="G50" s="124"/>
      <c r="H50" s="124"/>
      <c r="I50" s="124"/>
      <c r="J50" s="124"/>
      <c r="K50" s="124"/>
      <c r="L50" s="124"/>
      <c r="M50" s="124"/>
      <c r="N50" s="124"/>
      <c r="O50" s="124"/>
      <c r="P50" s="126"/>
      <c r="Q50" s="266"/>
      <c r="R50" s="443"/>
      <c r="S50" s="444"/>
    </row>
    <row r="51" spans="2:35" ht="18.75">
      <c r="B51" s="59" t="s">
        <v>305</v>
      </c>
      <c r="P51" s="444"/>
      <c r="Q51" s="266"/>
      <c r="R51" s="443">
        <f>+J33</f>
        <v>0</v>
      </c>
      <c r="S51" s="444"/>
    </row>
    <row r="52" spans="2:35" ht="15.75" thickBot="1">
      <c r="P52" s="444"/>
      <c r="Q52" s="127"/>
      <c r="R52" s="443">
        <f>+K33</f>
        <v>0</v>
      </c>
      <c r="S52" s="444"/>
    </row>
    <row r="53" spans="2:35" ht="35.25" customHeight="1">
      <c r="B53" s="164"/>
      <c r="C53" s="165" t="s">
        <v>310</v>
      </c>
      <c r="D53" s="165" t="s">
        <v>311</v>
      </c>
      <c r="E53" s="217" t="str">
        <f>CONCATENATE("Total Cheltuit și debursat (în ",D26,")")</f>
        <v>Total Cheltuit și debursat (în €)</v>
      </c>
      <c r="F53" s="238"/>
      <c r="G53" s="267"/>
      <c r="H53" s="161"/>
      <c r="I53" s="155"/>
      <c r="J53" s="155"/>
      <c r="K53" s="155"/>
      <c r="L53" s="155"/>
      <c r="M53" s="155"/>
      <c r="N53" s="155"/>
      <c r="O53" s="444"/>
      <c r="P53" s="127"/>
      <c r="Q53" s="443">
        <f>+M33</f>
        <v>0</v>
      </c>
      <c r="R53" s="444"/>
      <c r="AH53" s="15"/>
    </row>
    <row r="54" spans="2:35">
      <c r="B54" s="162" t="s">
        <v>306</v>
      </c>
      <c r="C54" s="486">
        <v>4014018.53</v>
      </c>
      <c r="D54" s="486">
        <v>2357161.88</v>
      </c>
      <c r="E54" s="311">
        <f>+D54+C54</f>
        <v>6371180.4100000001</v>
      </c>
      <c r="F54" s="238"/>
      <c r="G54" s="268"/>
      <c r="H54" s="67"/>
      <c r="I54" s="65"/>
      <c r="J54" s="456"/>
      <c r="K54" s="457"/>
      <c r="L54" s="66"/>
      <c r="M54" s="66"/>
      <c r="N54" s="66"/>
      <c r="O54" s="444"/>
      <c r="P54" s="444"/>
      <c r="Q54" s="444"/>
      <c r="R54" s="444"/>
      <c r="AH54" s="15"/>
    </row>
    <row r="55" spans="2:35">
      <c r="B55" s="162" t="s">
        <v>307</v>
      </c>
      <c r="C55" s="488">
        <v>3872711.41</v>
      </c>
      <c r="D55" s="488">
        <v>1842802.6</v>
      </c>
      <c r="E55" s="311">
        <f>+D55+C55</f>
        <v>5715514.0099999998</v>
      </c>
      <c r="F55" s="238"/>
      <c r="G55" s="269"/>
      <c r="H55" s="67"/>
      <c r="I55" s="65"/>
      <c r="J55" s="456"/>
      <c r="K55" s="456"/>
      <c r="L55" s="66"/>
      <c r="M55" s="66"/>
      <c r="N55" s="66"/>
      <c r="O55" s="444"/>
      <c r="P55" s="444"/>
      <c r="Q55" s="444"/>
      <c r="R55" s="444"/>
      <c r="AH55" s="15"/>
    </row>
    <row r="56" spans="2:35">
      <c r="B56" s="162" t="s">
        <v>308</v>
      </c>
      <c r="C56" s="487">
        <v>484111.91</v>
      </c>
      <c r="D56" s="487">
        <v>146173.06</v>
      </c>
      <c r="E56" s="311">
        <f>+D56+C56</f>
        <v>630284.97</v>
      </c>
      <c r="F56" s="238"/>
      <c r="G56" s="268"/>
      <c r="H56" s="67"/>
      <c r="I56" s="65"/>
      <c r="J56" s="456"/>
      <c r="K56" s="457"/>
      <c r="L56" s="66"/>
      <c r="M56" s="66"/>
      <c r="N56" s="66"/>
      <c r="O56" s="3"/>
      <c r="AH56" s="15"/>
    </row>
    <row r="57" spans="2:35" ht="15.75" thickBot="1">
      <c r="B57" s="163" t="s">
        <v>309</v>
      </c>
      <c r="C57" s="489">
        <v>461590.81</v>
      </c>
      <c r="D57" s="489">
        <v>110598.64</v>
      </c>
      <c r="E57" s="312">
        <f>+D57+C57</f>
        <v>572189.44999999995</v>
      </c>
      <c r="F57" s="238"/>
      <c r="G57" s="270"/>
      <c r="H57" s="458"/>
      <c r="I57" s="67"/>
      <c r="J57" s="67"/>
      <c r="K57" s="67"/>
      <c r="L57" s="66"/>
      <c r="M57" s="66"/>
      <c r="N57" s="66"/>
      <c r="O57" s="3"/>
      <c r="AH57" s="15"/>
    </row>
    <row r="58" spans="2:35" ht="15.75" customHeight="1">
      <c r="E58" s="318"/>
      <c r="F58" s="15"/>
      <c r="AI58" s="15"/>
    </row>
    <row r="59" spans="2:35">
      <c r="D59" s="153"/>
    </row>
    <row r="60" spans="2:35" ht="18.75">
      <c r="B60" s="59" t="s">
        <v>370</v>
      </c>
    </row>
    <row r="61" spans="2:35" ht="15.75" thickBot="1"/>
    <row r="62" spans="2:35">
      <c r="B62" s="689" t="s">
        <v>312</v>
      </c>
      <c r="C62" s="690"/>
      <c r="D62" s="691"/>
      <c r="M62" s="238"/>
      <c r="O62" s="3"/>
    </row>
    <row r="63" spans="2:35">
      <c r="B63" s="70"/>
      <c r="C63" s="167" t="s">
        <v>313</v>
      </c>
      <c r="D63" s="168" t="s">
        <v>314</v>
      </c>
      <c r="E63" s="238"/>
      <c r="M63" s="238"/>
      <c r="O63" s="3"/>
    </row>
    <row r="64" spans="2:35">
      <c r="B64" s="71" t="s">
        <v>315</v>
      </c>
      <c r="C64" s="490">
        <v>60</v>
      </c>
      <c r="D64" s="491">
        <v>89</v>
      </c>
      <c r="E64" s="238"/>
      <c r="F64" s="238"/>
      <c r="M64" s="238"/>
      <c r="O64" s="3"/>
    </row>
    <row r="65" spans="2:30">
      <c r="B65" s="166" t="s">
        <v>316</v>
      </c>
      <c r="C65" s="490">
        <v>5</v>
      </c>
      <c r="D65" s="491">
        <v>5</v>
      </c>
      <c r="H65" s="67"/>
      <c r="I65" s="67"/>
      <c r="M65" s="238"/>
      <c r="O65" s="3"/>
    </row>
    <row r="66" spans="2:30" ht="15.75" thickBot="1">
      <c r="B66" s="72" t="s">
        <v>317</v>
      </c>
      <c r="C66" s="492">
        <v>5</v>
      </c>
      <c r="D66" s="493">
        <v>5</v>
      </c>
      <c r="H66" s="67"/>
      <c r="I66" s="67"/>
      <c r="M66" s="238"/>
      <c r="O66" s="3"/>
    </row>
    <row r="68" spans="2:30" ht="15.75" thickBot="1">
      <c r="L68" s="213"/>
      <c r="AC68" s="2"/>
      <c r="AD68" s="2"/>
    </row>
    <row r="69" spans="2:30" ht="19.5" thickBot="1">
      <c r="B69" s="73" t="s">
        <v>319</v>
      </c>
      <c r="C69" s="74"/>
      <c r="D69" s="74"/>
      <c r="E69" s="74"/>
      <c r="F69" s="74"/>
      <c r="G69" s="74" t="s">
        <v>419</v>
      </c>
      <c r="H69" s="232"/>
      <c r="I69" s="74"/>
      <c r="J69" s="75"/>
      <c r="K69" s="75"/>
      <c r="L69" s="214"/>
      <c r="M69" s="215"/>
      <c r="N69" s="459"/>
      <c r="O69" s="459"/>
      <c r="P69" s="459"/>
      <c r="S69" s="76"/>
      <c r="AC69" s="2"/>
      <c r="AD69" s="2"/>
    </row>
    <row r="70" spans="2:30" ht="18.75">
      <c r="B70" s="77"/>
      <c r="C70" s="76"/>
      <c r="D70" s="76"/>
      <c r="E70" s="76"/>
      <c r="F70" s="76"/>
      <c r="G70" s="76"/>
      <c r="H70" s="76"/>
      <c r="I70" s="76"/>
      <c r="J70" s="76"/>
      <c r="K70" s="78"/>
      <c r="L70" s="78"/>
      <c r="M70" s="76"/>
      <c r="N70" s="459"/>
      <c r="O70" s="459"/>
      <c r="P70" s="459"/>
      <c r="S70" s="76"/>
      <c r="AC70" s="2"/>
      <c r="AD70" s="2"/>
    </row>
    <row r="71" spans="2:30" ht="18.75">
      <c r="B71" s="77" t="s">
        <v>320</v>
      </c>
      <c r="C71" s="76"/>
      <c r="D71" s="76"/>
      <c r="E71" s="76"/>
      <c r="F71" s="76"/>
      <c r="G71" s="76"/>
      <c r="H71" s="76"/>
      <c r="I71" s="76"/>
      <c r="J71" s="76"/>
      <c r="K71" s="78"/>
      <c r="L71" s="78"/>
      <c r="M71" s="76"/>
      <c r="N71" s="459"/>
      <c r="O71" s="459"/>
      <c r="P71" s="459"/>
      <c r="S71" s="76"/>
      <c r="AC71" s="2"/>
      <c r="AD71" s="2"/>
    </row>
    <row r="72" spans="2:30" ht="15.75" thickBot="1">
      <c r="B72" s="2"/>
      <c r="C72" s="79"/>
      <c r="D72" s="79"/>
      <c r="E72" s="79"/>
      <c r="F72" s="79"/>
      <c r="G72" s="79"/>
      <c r="H72" s="2"/>
      <c r="I72" s="79"/>
      <c r="J72" s="2"/>
      <c r="K72" s="2"/>
      <c r="L72" s="2"/>
      <c r="M72" s="2"/>
      <c r="N72" s="15"/>
      <c r="O72" s="2"/>
      <c r="P72" s="2"/>
      <c r="Q72" s="2"/>
      <c r="R72" s="2"/>
      <c r="S72" s="2"/>
      <c r="AD72" s="2"/>
    </row>
    <row r="73" spans="2:30" ht="60">
      <c r="B73" s="645"/>
      <c r="C73" s="646"/>
      <c r="D73" s="80" t="s">
        <v>323</v>
      </c>
      <c r="E73" s="81" t="s">
        <v>324</v>
      </c>
      <c r="F73" s="81" t="s">
        <v>325</v>
      </c>
      <c r="G73" s="82" t="s">
        <v>39</v>
      </c>
      <c r="H73" s="171"/>
      <c r="I73" s="172"/>
      <c r="J73" s="15"/>
      <c r="K73" s="2"/>
      <c r="L73" s="2"/>
      <c r="M73" s="2"/>
      <c r="N73" s="15"/>
      <c r="O73" s="2"/>
      <c r="P73" s="2"/>
      <c r="Q73" s="2"/>
      <c r="R73" s="2"/>
      <c r="S73" s="2"/>
    </row>
    <row r="74" spans="2:30">
      <c r="B74" s="711" t="s">
        <v>321</v>
      </c>
      <c r="C74" s="712"/>
      <c r="D74" s="494"/>
      <c r="E74" s="494">
        <v>2</v>
      </c>
      <c r="F74" s="494"/>
      <c r="G74" s="277">
        <f>SUM(D74:F74)</f>
        <v>2</v>
      </c>
      <c r="H74" s="15"/>
      <c r="I74" s="460"/>
      <c r="J74" s="460"/>
      <c r="K74" s="2" t="s">
        <v>318</v>
      </c>
      <c r="L74" s="2"/>
      <c r="M74" s="2"/>
      <c r="N74" s="15"/>
      <c r="O74" s="2"/>
      <c r="P74" s="2"/>
      <c r="Q74" s="2"/>
      <c r="R74" s="2"/>
      <c r="S74" s="2"/>
    </row>
    <row r="75" spans="2:30" ht="15.75" thickBot="1">
      <c r="B75" s="641" t="s">
        <v>322</v>
      </c>
      <c r="C75" s="642"/>
      <c r="D75" s="495"/>
      <c r="E75" s="495"/>
      <c r="F75" s="495"/>
      <c r="G75" s="85">
        <f>SUM(D75:F75)</f>
        <v>0</v>
      </c>
      <c r="H75" s="15"/>
      <c r="I75" s="15"/>
      <c r="J75" s="15"/>
      <c r="K75" s="2"/>
      <c r="L75" s="2"/>
      <c r="M75" s="2"/>
      <c r="N75" s="2"/>
      <c r="O75" s="2"/>
      <c r="P75" s="2"/>
      <c r="Q75" s="2"/>
      <c r="R75" s="2"/>
      <c r="S75" s="2"/>
    </row>
    <row r="76" spans="2:30">
      <c r="B76" s="2"/>
      <c r="C76" s="2"/>
      <c r="D76" s="2"/>
      <c r="E76" s="2"/>
      <c r="F76" s="2"/>
      <c r="G76" s="2"/>
      <c r="H76" s="2"/>
      <c r="I76" s="2"/>
      <c r="J76" s="2"/>
      <c r="K76" s="2"/>
      <c r="L76" s="2"/>
      <c r="M76" s="2"/>
      <c r="N76" s="2"/>
      <c r="O76" s="2"/>
      <c r="P76" s="2"/>
      <c r="Q76" s="2"/>
      <c r="R76" s="2"/>
      <c r="S76" s="2"/>
    </row>
    <row r="77" spans="2:30">
      <c r="B77" s="2"/>
      <c r="C77" s="2"/>
      <c r="D77" s="2"/>
      <c r="E77" s="2"/>
      <c r="F77" s="2"/>
      <c r="G77" s="2"/>
      <c r="H77" s="2"/>
      <c r="I77" s="2"/>
      <c r="J77" s="2"/>
      <c r="K77" s="2"/>
      <c r="L77" s="2"/>
      <c r="M77" s="2"/>
      <c r="N77" s="2"/>
      <c r="O77" s="2"/>
      <c r="P77" s="2"/>
      <c r="S77" s="2"/>
    </row>
    <row r="78" spans="2:30" ht="18.75">
      <c r="B78" s="77" t="s">
        <v>326</v>
      </c>
      <c r="C78" s="2"/>
      <c r="D78" s="2"/>
      <c r="E78" s="2"/>
      <c r="F78" s="2"/>
      <c r="G78" s="2"/>
      <c r="H78" s="2"/>
      <c r="I78" s="2"/>
      <c r="J78" s="2"/>
      <c r="K78" s="2"/>
      <c r="L78" s="2"/>
      <c r="M78" s="2"/>
      <c r="N78" s="2"/>
      <c r="O78" s="2"/>
      <c r="P78" s="2"/>
      <c r="S78" s="2"/>
    </row>
    <row r="79" spans="2:30" ht="15.75" thickBot="1">
      <c r="B79" s="2"/>
      <c r="C79" s="2"/>
      <c r="D79" s="2"/>
      <c r="E79" s="2"/>
      <c r="F79" s="2"/>
      <c r="G79" s="2"/>
      <c r="H79" s="2"/>
      <c r="I79" s="2"/>
      <c r="J79" s="2"/>
      <c r="K79" s="2"/>
      <c r="L79" s="2"/>
      <c r="M79" s="2"/>
      <c r="N79" s="2"/>
      <c r="O79" s="2"/>
      <c r="P79" s="2"/>
      <c r="S79" s="2"/>
    </row>
    <row r="80" spans="2:30">
      <c r="B80" s="86"/>
      <c r="C80" s="419" t="s">
        <v>327</v>
      </c>
      <c r="D80" s="419" t="s">
        <v>328</v>
      </c>
      <c r="E80" s="87" t="s">
        <v>329</v>
      </c>
      <c r="F80" s="15"/>
      <c r="G80" s="15"/>
      <c r="H80" s="15"/>
      <c r="I80" s="172"/>
      <c r="J80" s="2"/>
      <c r="K80" s="2"/>
      <c r="L80" s="2"/>
      <c r="M80" s="2"/>
      <c r="N80" s="2"/>
      <c r="O80" s="2"/>
      <c r="P80" s="2"/>
      <c r="S80" s="2"/>
    </row>
    <row r="81" spans="2:36" ht="15.75" thickBot="1">
      <c r="B81" s="88" t="s">
        <v>417</v>
      </c>
      <c r="C81" s="496">
        <v>14</v>
      </c>
      <c r="D81" s="496">
        <v>14</v>
      </c>
      <c r="E81" s="278">
        <f>+C81-D81</f>
        <v>0</v>
      </c>
      <c r="F81" s="146"/>
      <c r="G81" s="151"/>
      <c r="H81" s="15"/>
      <c r="I81" s="460"/>
      <c r="J81" s="2"/>
      <c r="K81" s="2"/>
      <c r="L81" s="2"/>
      <c r="M81" s="2"/>
      <c r="N81" s="2"/>
      <c r="O81" s="2"/>
      <c r="P81" s="2"/>
      <c r="S81" s="2"/>
    </row>
    <row r="82" spans="2:36">
      <c r="B82" s="2"/>
      <c r="C82" s="2"/>
      <c r="D82" s="2"/>
      <c r="E82" s="2"/>
      <c r="F82" s="2"/>
      <c r="G82" s="2"/>
      <c r="H82" s="2"/>
      <c r="I82" s="2"/>
      <c r="J82" s="2"/>
      <c r="K82" s="2"/>
      <c r="L82" s="2"/>
      <c r="M82" s="2"/>
      <c r="N82" s="2"/>
      <c r="O82" s="2"/>
      <c r="P82" s="2"/>
      <c r="S82" s="2"/>
    </row>
    <row r="83" spans="2:36" ht="18.75">
      <c r="B83" s="77" t="s">
        <v>330</v>
      </c>
      <c r="C83" s="2"/>
      <c r="D83" s="2"/>
      <c r="E83" s="2"/>
      <c r="F83" s="2"/>
      <c r="G83" s="2"/>
      <c r="H83" s="2"/>
      <c r="I83" s="2"/>
      <c r="J83" s="2"/>
      <c r="K83" s="2"/>
      <c r="L83" s="2"/>
      <c r="M83" s="2"/>
      <c r="N83" s="2"/>
      <c r="O83" s="2"/>
      <c r="P83" s="2"/>
      <c r="S83" s="2"/>
    </row>
    <row r="84" spans="2:36" ht="15.75" thickBot="1">
      <c r="B84" s="2"/>
      <c r="C84" s="2"/>
      <c r="D84" s="2"/>
      <c r="E84" s="2"/>
      <c r="F84" s="2"/>
      <c r="G84" s="2"/>
      <c r="H84" s="2"/>
      <c r="I84" s="2"/>
      <c r="J84" s="2"/>
      <c r="K84" s="2"/>
      <c r="L84" s="2"/>
      <c r="M84" s="2"/>
      <c r="N84" s="2"/>
      <c r="O84" s="2"/>
      <c r="P84" s="2"/>
      <c r="S84" s="2"/>
    </row>
    <row r="85" spans="2:36" ht="30">
      <c r="B85" s="86"/>
      <c r="C85" s="419" t="s">
        <v>331</v>
      </c>
      <c r="D85" s="419" t="s">
        <v>332</v>
      </c>
      <c r="E85" s="419" t="s">
        <v>333</v>
      </c>
      <c r="F85" s="419" t="s">
        <v>334</v>
      </c>
      <c r="G85" s="105" t="s">
        <v>335</v>
      </c>
      <c r="H85" s="152"/>
      <c r="I85" s="172"/>
      <c r="J85" s="2"/>
      <c r="K85" s="2"/>
      <c r="L85" s="2"/>
      <c r="M85" s="2"/>
      <c r="N85" s="2"/>
      <c r="O85" s="2"/>
      <c r="P85" s="2"/>
      <c r="S85" s="2"/>
    </row>
    <row r="86" spans="2:36" ht="15.75" thickBot="1">
      <c r="B86" s="88" t="s">
        <v>77</v>
      </c>
      <c r="C86" s="496">
        <v>2</v>
      </c>
      <c r="D86" s="496">
        <v>2</v>
      </c>
      <c r="E86" s="496">
        <v>2</v>
      </c>
      <c r="F86" s="496">
        <v>2</v>
      </c>
      <c r="G86" s="497">
        <v>2</v>
      </c>
      <c r="H86" s="461"/>
      <c r="I86" s="15"/>
      <c r="J86" s="2"/>
      <c r="K86" s="2"/>
      <c r="L86" s="2"/>
      <c r="M86" s="2"/>
      <c r="N86" s="2"/>
      <c r="O86" s="2"/>
      <c r="P86" s="2"/>
      <c r="S86" s="2"/>
    </row>
    <row r="87" spans="2:36">
      <c r="B87" s="2"/>
      <c r="C87" s="279"/>
      <c r="D87" s="279"/>
      <c r="E87" s="279"/>
      <c r="F87" s="279"/>
      <c r="G87" s="279"/>
      <c r="H87" s="2"/>
      <c r="J87" s="2"/>
      <c r="K87" s="2"/>
      <c r="L87" s="2"/>
      <c r="M87" s="2"/>
      <c r="N87" s="2"/>
      <c r="O87" s="2"/>
      <c r="P87" s="2"/>
      <c r="S87" s="2"/>
    </row>
    <row r="88" spans="2:36" ht="18.75">
      <c r="B88" s="77" t="s">
        <v>336</v>
      </c>
      <c r="C88" s="2"/>
      <c r="D88" s="2"/>
      <c r="E88" s="2"/>
      <c r="F88" s="2"/>
      <c r="G88" s="2"/>
      <c r="H88" s="2"/>
      <c r="I88" s="2"/>
      <c r="J88" s="2"/>
      <c r="K88" s="2"/>
      <c r="L88" s="2"/>
      <c r="M88" s="2"/>
      <c r="N88" s="2"/>
      <c r="O88" s="2"/>
      <c r="P88" s="2"/>
      <c r="S88" s="2"/>
    </row>
    <row r="89" spans="2:36" ht="15.75" thickBot="1">
      <c r="B89" s="2"/>
      <c r="C89" s="2"/>
      <c r="D89" s="2"/>
      <c r="E89" s="2"/>
      <c r="F89" s="2"/>
      <c r="G89" s="2"/>
      <c r="H89" s="2"/>
      <c r="I89" s="2"/>
      <c r="J89" s="2"/>
      <c r="K89" s="2"/>
      <c r="L89" s="2"/>
      <c r="M89" s="2"/>
      <c r="N89" s="2"/>
      <c r="O89" s="2"/>
      <c r="P89" s="2"/>
      <c r="S89" s="2"/>
    </row>
    <row r="90" spans="2:36">
      <c r="B90" s="86"/>
      <c r="C90" s="89" t="s">
        <v>339</v>
      </c>
      <c r="D90" s="89" t="s">
        <v>340</v>
      </c>
      <c r="E90" s="90" t="s">
        <v>341</v>
      </c>
      <c r="F90" s="2"/>
      <c r="G90" s="2"/>
      <c r="H90" s="2"/>
      <c r="I90" s="2"/>
      <c r="J90" s="2"/>
      <c r="K90" s="2"/>
      <c r="L90" s="2"/>
      <c r="N90" s="3"/>
      <c r="O90" s="2"/>
      <c r="AG90" s="238"/>
      <c r="AJ90" s="3"/>
    </row>
    <row r="91" spans="2:36">
      <c r="B91" s="83" t="s">
        <v>337</v>
      </c>
      <c r="C91" s="494">
        <v>8</v>
      </c>
      <c r="D91" s="498">
        <v>8</v>
      </c>
      <c r="E91" s="280">
        <f>C91-D91</f>
        <v>0</v>
      </c>
      <c r="F91" s="2"/>
      <c r="G91" s="2"/>
      <c r="H91" s="2"/>
      <c r="I91" s="2"/>
      <c r="J91" s="2"/>
      <c r="K91" s="2"/>
      <c r="L91" s="2"/>
      <c r="N91" s="3"/>
      <c r="O91" s="2"/>
      <c r="AG91" s="238"/>
      <c r="AJ91" s="3"/>
    </row>
    <row r="92" spans="2:36" ht="15.75" thickBot="1">
      <c r="B92" s="84" t="s">
        <v>338</v>
      </c>
      <c r="C92" s="495">
        <v>4</v>
      </c>
      <c r="D92" s="499">
        <v>4</v>
      </c>
      <c r="E92" s="462">
        <f>C92-D92</f>
        <v>0</v>
      </c>
      <c r="F92" s="2"/>
      <c r="G92" s="2"/>
      <c r="H92" s="2"/>
      <c r="I92" s="2"/>
      <c r="J92" s="2"/>
      <c r="K92" s="2"/>
      <c r="L92" s="2"/>
      <c r="N92" s="3"/>
      <c r="O92" s="2"/>
      <c r="AG92" s="238"/>
      <c r="AJ92" s="3"/>
    </row>
    <row r="93" spans="2:36">
      <c r="B93" s="2"/>
      <c r="C93" s="2"/>
      <c r="D93" s="2"/>
      <c r="E93" s="2"/>
      <c r="F93" s="2"/>
      <c r="G93" s="2"/>
      <c r="H93" s="2"/>
      <c r="I93" s="2"/>
      <c r="J93" s="2"/>
      <c r="K93" s="2"/>
      <c r="L93" s="2"/>
      <c r="M93" s="2"/>
      <c r="N93" s="2"/>
      <c r="O93" s="2"/>
      <c r="P93" s="2"/>
      <c r="S93" s="2"/>
    </row>
    <row r="94" spans="2:36" ht="18.75">
      <c r="B94" s="77" t="s">
        <v>342</v>
      </c>
      <c r="C94" s="2"/>
      <c r="D94" s="2"/>
      <c r="E94" s="2"/>
      <c r="F94" s="2"/>
      <c r="G94" s="2"/>
      <c r="H94" s="2"/>
      <c r="I94" s="2"/>
      <c r="J94" s="2"/>
      <c r="K94" s="2"/>
      <c r="L94" s="2"/>
      <c r="M94" s="2"/>
      <c r="N94" s="2"/>
      <c r="O94" s="2"/>
      <c r="P94" s="2"/>
      <c r="S94" s="2"/>
    </row>
    <row r="95" spans="2:36" ht="15.75" thickBot="1">
      <c r="B95" s="2"/>
      <c r="C95" s="2"/>
      <c r="D95" s="2"/>
      <c r="E95" s="2"/>
      <c r="F95" s="2"/>
      <c r="G95" s="2"/>
      <c r="H95" s="2"/>
      <c r="I95" s="15"/>
      <c r="J95" s="15"/>
      <c r="K95" s="15"/>
      <c r="L95" s="15"/>
      <c r="M95" s="15"/>
      <c r="N95" s="15"/>
      <c r="O95" s="15"/>
      <c r="P95" s="15"/>
      <c r="S95" s="2"/>
    </row>
    <row r="96" spans="2:36">
      <c r="B96" s="129"/>
      <c r="C96" s="463" t="s">
        <v>60</v>
      </c>
      <c r="D96" s="463" t="s">
        <v>61</v>
      </c>
      <c r="E96" s="463" t="s">
        <v>62</v>
      </c>
      <c r="F96" s="463" t="s">
        <v>63</v>
      </c>
      <c r="G96" s="463" t="s">
        <v>70</v>
      </c>
      <c r="H96" s="463" t="s">
        <v>71</v>
      </c>
      <c r="I96" s="463" t="s">
        <v>72</v>
      </c>
      <c r="J96" s="463" t="s">
        <v>73</v>
      </c>
      <c r="K96" s="463" t="s">
        <v>74</v>
      </c>
      <c r="L96" s="463" t="s">
        <v>75</v>
      </c>
      <c r="M96" s="463" t="s">
        <v>76</v>
      </c>
      <c r="N96" s="464" t="s">
        <v>230</v>
      </c>
      <c r="O96" s="15"/>
      <c r="P96" s="15"/>
      <c r="S96" s="2"/>
    </row>
    <row r="97" spans="2:19" ht="15" customHeight="1">
      <c r="B97" s="199" t="s">
        <v>343</v>
      </c>
      <c r="C97" s="500">
        <v>1160869.74</v>
      </c>
      <c r="D97" s="500">
        <v>1152538.74</v>
      </c>
      <c r="E97" s="501">
        <v>1343763.79</v>
      </c>
      <c r="F97" s="501"/>
      <c r="G97" s="501"/>
      <c r="H97" s="500"/>
      <c r="I97" s="500"/>
      <c r="J97" s="501"/>
      <c r="K97" s="501"/>
      <c r="L97" s="501"/>
      <c r="M97" s="501"/>
      <c r="N97" s="502"/>
      <c r="O97" s="15"/>
      <c r="P97" s="15"/>
      <c r="S97" s="2"/>
    </row>
    <row r="98" spans="2:19" ht="15" customHeight="1">
      <c r="B98" s="199" t="s">
        <v>344</v>
      </c>
      <c r="C98" s="500">
        <v>1079919</v>
      </c>
      <c r="D98" s="500">
        <v>1889082.86</v>
      </c>
      <c r="E98" s="501">
        <v>821894.71</v>
      </c>
      <c r="F98" s="501"/>
      <c r="G98" s="501"/>
      <c r="H98" s="500"/>
      <c r="I98" s="500"/>
      <c r="J98" s="501"/>
      <c r="K98" s="501"/>
      <c r="L98" s="501"/>
      <c r="M98" s="501"/>
      <c r="N98" s="502"/>
      <c r="O98" s="15"/>
      <c r="P98" s="15"/>
      <c r="S98" s="2"/>
    </row>
    <row r="99" spans="2:19" ht="15" customHeight="1">
      <c r="B99" s="199" t="s">
        <v>345</v>
      </c>
      <c r="C99" s="500">
        <v>708982.7</v>
      </c>
      <c r="D99" s="500">
        <v>1410817.85</v>
      </c>
      <c r="E99" s="501">
        <v>1016396</v>
      </c>
      <c r="F99" s="501"/>
      <c r="G99" s="501"/>
      <c r="H99" s="500"/>
      <c r="I99" s="500"/>
      <c r="J99" s="501"/>
      <c r="K99" s="501"/>
      <c r="L99" s="501"/>
      <c r="M99" s="501"/>
      <c r="N99" s="502"/>
      <c r="O99" s="15"/>
      <c r="P99" s="15"/>
      <c r="S99" s="2"/>
    </row>
    <row r="100" spans="2:19" ht="15" customHeight="1">
      <c r="B100" s="173" t="s">
        <v>346</v>
      </c>
      <c r="C100" s="503">
        <f>C97</f>
        <v>1160869.74</v>
      </c>
      <c r="D100" s="504">
        <f>C97+D97</f>
        <v>2313408.48</v>
      </c>
      <c r="E100" s="505">
        <f>E97+D97+C97</f>
        <v>3657172.2700000005</v>
      </c>
      <c r="F100" s="505"/>
      <c r="G100" s="505"/>
      <c r="H100" s="504"/>
      <c r="I100" s="504"/>
      <c r="J100" s="505"/>
      <c r="K100" s="505"/>
      <c r="L100" s="504"/>
      <c r="M100" s="504"/>
      <c r="N100" s="506"/>
      <c r="O100" s="15"/>
      <c r="P100" s="15"/>
      <c r="S100" s="2"/>
    </row>
    <row r="101" spans="2:19" ht="15" customHeight="1">
      <c r="B101" s="173" t="s">
        <v>347</v>
      </c>
      <c r="C101" s="503">
        <f>C98</f>
        <v>1079919</v>
      </c>
      <c r="D101" s="504">
        <f>C98+D98</f>
        <v>2969001.8600000003</v>
      </c>
      <c r="E101" s="505">
        <f>E98+D98+C98</f>
        <v>3790896.5700000003</v>
      </c>
      <c r="F101" s="505"/>
      <c r="G101" s="505"/>
      <c r="H101" s="504"/>
      <c r="I101" s="504"/>
      <c r="J101" s="505"/>
      <c r="K101" s="505"/>
      <c r="L101" s="504"/>
      <c r="M101" s="504"/>
      <c r="N101" s="506"/>
      <c r="O101" s="15"/>
      <c r="P101" s="15"/>
      <c r="S101" s="2"/>
    </row>
    <row r="102" spans="2:19" ht="15.75" thickBot="1">
      <c r="B102" s="227" t="s">
        <v>348</v>
      </c>
      <c r="C102" s="507">
        <f>C99</f>
        <v>708982.7</v>
      </c>
      <c r="D102" s="504">
        <f>C99+D99</f>
        <v>2119800.5499999998</v>
      </c>
      <c r="E102" s="505">
        <f>E99+D99+C99</f>
        <v>3136196.55</v>
      </c>
      <c r="F102" s="509"/>
      <c r="G102" s="509"/>
      <c r="H102" s="508"/>
      <c r="I102" s="508"/>
      <c r="J102" s="509"/>
      <c r="K102" s="509"/>
      <c r="L102" s="508"/>
      <c r="M102" s="508"/>
      <c r="N102" s="510"/>
      <c r="O102" s="15"/>
      <c r="P102" s="15"/>
      <c r="S102" s="2"/>
    </row>
    <row r="103" spans="2:19">
      <c r="C103" s="2"/>
      <c r="D103" s="2"/>
      <c r="E103" s="2"/>
      <c r="F103" s="2"/>
      <c r="G103" s="2"/>
      <c r="H103" s="2"/>
      <c r="I103" s="15"/>
      <c r="J103" s="91"/>
      <c r="K103" s="92"/>
      <c r="L103" s="15"/>
      <c r="M103" s="93"/>
      <c r="N103" s="15"/>
      <c r="O103" s="15"/>
      <c r="P103" s="15"/>
      <c r="S103" s="2"/>
    </row>
    <row r="104" spans="2:19">
      <c r="B104" s="2" t="s">
        <v>425</v>
      </c>
      <c r="C104" s="2"/>
      <c r="D104" s="2"/>
      <c r="E104" s="2"/>
      <c r="F104" s="2"/>
      <c r="G104" s="2"/>
      <c r="H104" s="2"/>
      <c r="I104" s="15"/>
      <c r="J104" s="91"/>
      <c r="K104" s="92"/>
      <c r="L104" s="15"/>
      <c r="M104" s="93"/>
      <c r="N104" s="15"/>
      <c r="O104" s="15"/>
      <c r="P104" s="15"/>
      <c r="S104" s="2"/>
    </row>
    <row r="105" spans="2:19">
      <c r="C105" s="2"/>
      <c r="D105" s="2"/>
      <c r="E105" s="2"/>
      <c r="F105" s="2"/>
      <c r="G105" s="2"/>
      <c r="H105" s="2"/>
      <c r="I105" s="15"/>
      <c r="J105" s="91"/>
      <c r="K105" s="93"/>
      <c r="L105" s="15"/>
      <c r="M105" s="93"/>
      <c r="N105" s="465"/>
      <c r="O105" s="15"/>
      <c r="P105" s="15"/>
      <c r="S105" s="2"/>
    </row>
    <row r="106" spans="2:19">
      <c r="I106" s="15"/>
      <c r="J106" s="15"/>
      <c r="K106" s="15"/>
      <c r="L106" s="15"/>
      <c r="M106" s="15"/>
      <c r="N106" s="465"/>
      <c r="O106" s="15"/>
      <c r="P106" s="15"/>
    </row>
    <row r="107" spans="2:19" ht="18.75">
      <c r="B107" s="77" t="s">
        <v>349</v>
      </c>
      <c r="I107" s="15"/>
      <c r="J107" s="15"/>
      <c r="K107" s="15"/>
      <c r="L107" s="15"/>
      <c r="M107" s="15"/>
      <c r="N107" s="465"/>
      <c r="O107" s="15"/>
      <c r="P107" s="15"/>
    </row>
    <row r="108" spans="2:19" ht="15.75" thickBot="1">
      <c r="C108" s="15"/>
      <c r="D108" s="15"/>
      <c r="E108" s="15"/>
      <c r="F108" s="15"/>
      <c r="G108" s="2"/>
      <c r="H108" s="2"/>
      <c r="I108" s="2"/>
      <c r="J108" s="15"/>
      <c r="K108" s="2"/>
      <c r="L108" s="15"/>
      <c r="M108" s="15"/>
      <c r="N108" s="15"/>
      <c r="O108" s="15"/>
      <c r="P108" s="15"/>
      <c r="Q108" s="2"/>
      <c r="S108" s="15"/>
    </row>
    <row r="109" spans="2:19" ht="90.75" customHeight="1">
      <c r="B109" s="174" t="s">
        <v>350</v>
      </c>
      <c r="C109" s="175" t="s">
        <v>351</v>
      </c>
      <c r="D109" s="466" t="s">
        <v>352</v>
      </c>
      <c r="E109" s="466" t="s">
        <v>353</v>
      </c>
      <c r="F109" s="467" t="s">
        <v>354</v>
      </c>
      <c r="G109" s="467" t="s">
        <v>355</v>
      </c>
      <c r="H109" s="466" t="s">
        <v>356</v>
      </c>
      <c r="I109" s="466" t="s">
        <v>376</v>
      </c>
      <c r="J109" s="466" t="s">
        <v>357</v>
      </c>
      <c r="K109" s="176" t="s">
        <v>358</v>
      </c>
      <c r="L109" s="2"/>
      <c r="M109" s="15"/>
      <c r="N109" s="15"/>
      <c r="O109" s="15"/>
      <c r="P109" s="2"/>
      <c r="R109" s="15"/>
    </row>
    <row r="110" spans="2:19">
      <c r="B110" s="647" t="s">
        <v>268</v>
      </c>
      <c r="C110" s="468" t="s">
        <v>268</v>
      </c>
      <c r="D110" s="469"/>
      <c r="E110" s="211" t="str">
        <f>IF(ISBLANK(D110),"",D110*30)</f>
        <v/>
      </c>
      <c r="F110" s="470"/>
      <c r="G110" s="197" t="str">
        <f>IF(AND(E110&gt;0,F110&gt;0),(F110*E110),"")</f>
        <v/>
      </c>
      <c r="H110" s="470"/>
      <c r="I110" s="219" t="str">
        <f>IF(AND(G110&gt;0,H110&gt;0),H110/G110,"")</f>
        <v/>
      </c>
      <c r="J110" s="471"/>
      <c r="K110" s="228" t="str">
        <f>IF(AND(I110&gt;0,J110&gt;0),I110-J110,"")</f>
        <v/>
      </c>
      <c r="L110" s="2"/>
      <c r="M110" s="15"/>
      <c r="N110" s="15"/>
      <c r="O110" s="15"/>
      <c r="P110" s="2"/>
      <c r="R110" s="15"/>
    </row>
    <row r="111" spans="2:19">
      <c r="B111" s="648"/>
      <c r="C111" s="468" t="s">
        <v>268</v>
      </c>
      <c r="D111" s="469"/>
      <c r="E111" s="211" t="str">
        <f>IF(ISBLANK(D111),"",D111*30)</f>
        <v/>
      </c>
      <c r="F111" s="470"/>
      <c r="G111" s="197" t="str">
        <f>IF(AND(E111&gt;0,F111&gt;0),(F111*E111),"")</f>
        <v/>
      </c>
      <c r="H111" s="470"/>
      <c r="I111" s="219" t="str">
        <f>IF(AND(G111&gt;0,H111&gt;0),H111/G111,"")</f>
        <v/>
      </c>
      <c r="J111" s="471"/>
      <c r="K111" s="228" t="str">
        <f>IF(AND(I111&gt;0,J111&gt;0),I111-J111,"")</f>
        <v/>
      </c>
      <c r="L111" s="2"/>
      <c r="M111" s="15"/>
      <c r="N111" s="15"/>
      <c r="O111" s="15"/>
      <c r="P111" s="2"/>
    </row>
    <row r="112" spans="2:19">
      <c r="B112" s="648"/>
      <c r="C112" s="468" t="s">
        <v>268</v>
      </c>
      <c r="D112" s="469"/>
      <c r="E112" s="211" t="str">
        <f>IF(ISBLANK(D112),"",D112*30)</f>
        <v/>
      </c>
      <c r="F112" s="470"/>
      <c r="G112" s="197" t="str">
        <f>IF(AND(E112&gt;0,F112&gt;0),(F112*E112),"")</f>
        <v/>
      </c>
      <c r="H112" s="470"/>
      <c r="I112" s="219" t="str">
        <f>IF(AND(G112&gt;0,H112&gt;0),H112/G112,"")</f>
        <v/>
      </c>
      <c r="J112" s="471"/>
      <c r="K112" s="228" t="str">
        <f>IF(AND(I112&gt;0,J112&gt;0),I112-J112,"")</f>
        <v/>
      </c>
      <c r="L112" s="2"/>
      <c r="M112" s="15"/>
      <c r="N112" s="15"/>
      <c r="O112" s="15"/>
      <c r="P112" s="2"/>
      <c r="R112" s="15"/>
    </row>
    <row r="113" spans="2:20" ht="15.75" thickBot="1">
      <c r="B113" s="649"/>
      <c r="C113" s="472" t="s">
        <v>268</v>
      </c>
      <c r="D113" s="473"/>
      <c r="E113" s="224" t="str">
        <f>IF(ISBLANK(D113),"",D113*30)</f>
        <v/>
      </c>
      <c r="F113" s="474"/>
      <c r="G113" s="225" t="str">
        <f>IF(AND(E113&gt;0,F113&gt;0),(F113*E113),"")</f>
        <v/>
      </c>
      <c r="H113" s="474"/>
      <c r="I113" s="226" t="str">
        <f>IF(AND(G113&gt;0,H113&gt;0),H113/G113,"")</f>
        <v/>
      </c>
      <c r="J113" s="475"/>
      <c r="K113" s="229" t="str">
        <f>IF(AND(I113&gt;0,J113&gt;0),I113-J113,"")</f>
        <v/>
      </c>
      <c r="L113" s="2"/>
      <c r="M113" s="15"/>
      <c r="N113" s="15"/>
      <c r="O113" s="15"/>
      <c r="P113" s="2"/>
      <c r="R113" s="15"/>
    </row>
    <row r="114" spans="2:20">
      <c r="G114" s="2"/>
      <c r="H114" s="2"/>
      <c r="I114" s="2"/>
      <c r="L114" s="2"/>
      <c r="M114" s="2"/>
      <c r="N114" s="15"/>
      <c r="O114" s="15"/>
      <c r="P114" s="15"/>
      <c r="Q114" s="2"/>
      <c r="S114" s="15"/>
    </row>
    <row r="115" spans="2:20" ht="15.75" thickBot="1">
      <c r="I115" s="2"/>
      <c r="J115" s="76"/>
      <c r="K115" s="76"/>
    </row>
    <row r="116" spans="2:20" ht="19.5" thickBot="1">
      <c r="B116" s="136" t="s">
        <v>359</v>
      </c>
      <c r="C116" s="94"/>
      <c r="D116" s="94"/>
      <c r="E116" s="95"/>
      <c r="F116" s="95"/>
      <c r="G116" s="95"/>
      <c r="H116" s="142"/>
      <c r="I116" s="137"/>
      <c r="J116" s="186"/>
      <c r="K116" s="187" t="s">
        <v>414</v>
      </c>
      <c r="L116" s="95"/>
      <c r="M116" s="188"/>
      <c r="N116" s="188"/>
      <c r="O116" s="188"/>
      <c r="P116" s="476"/>
      <c r="Q116" s="238"/>
    </row>
    <row r="117" spans="2:20" ht="15.75" thickBot="1">
      <c r="N117" s="3"/>
      <c r="O117" s="3"/>
      <c r="P117" s="238"/>
      <c r="Q117" s="238"/>
    </row>
    <row r="118" spans="2:20" ht="42.75" customHeight="1">
      <c r="B118" s="713" t="s">
        <v>362</v>
      </c>
      <c r="C118" s="714"/>
      <c r="D118" s="715"/>
      <c r="E118" s="177" t="s">
        <v>463</v>
      </c>
      <c r="F118" s="234" t="s">
        <v>466</v>
      </c>
      <c r="G118" s="139"/>
      <c r="H118" s="477" t="s">
        <v>60</v>
      </c>
      <c r="I118" s="477" t="s">
        <v>61</v>
      </c>
      <c r="J118" s="477" t="s">
        <v>62</v>
      </c>
      <c r="K118" s="477" t="s">
        <v>63</v>
      </c>
      <c r="L118" s="477" t="s">
        <v>70</v>
      </c>
      <c r="M118" s="477" t="s">
        <v>71</v>
      </c>
      <c r="N118" s="477" t="s">
        <v>72</v>
      </c>
      <c r="O118" s="477" t="s">
        <v>73</v>
      </c>
      <c r="P118" s="477" t="s">
        <v>74</v>
      </c>
      <c r="Q118" s="477" t="s">
        <v>75</v>
      </c>
      <c r="R118" s="477" t="s">
        <v>76</v>
      </c>
      <c r="S118" s="477" t="s">
        <v>230</v>
      </c>
      <c r="T118" s="5"/>
    </row>
    <row r="119" spans="2:20" ht="16.5" customHeight="1">
      <c r="B119" s="640" t="str">
        <f>VLOOKUP(T119,Table1[],4,0)</f>
        <v>TB I-3(M): Rata mortalităţii  - Numărul estimat de decese cauzate de TB (toate formele) pe an, la 100,000 persoane</v>
      </c>
      <c r="C119" s="640"/>
      <c r="D119" s="640"/>
      <c r="E119" s="630" t="str">
        <f>VLOOKUP(T119,Table1[],2,0)</f>
        <v>Indicator de impact</v>
      </c>
      <c r="F119" s="632" t="str">
        <f>VLOOKUP(T119,Table1[],3,0)</f>
        <v>TB</v>
      </c>
      <c r="G119" s="230" t="s">
        <v>360</v>
      </c>
      <c r="H119" s="511">
        <v>8.6999999999999993</v>
      </c>
      <c r="I119" s="511">
        <v>8.1999999999999993</v>
      </c>
      <c r="J119" s="512">
        <v>8.1999999999999993</v>
      </c>
      <c r="K119" s="511">
        <v>7.7</v>
      </c>
      <c r="L119" s="513">
        <v>7.7</v>
      </c>
      <c r="M119" s="511">
        <v>7.2</v>
      </c>
      <c r="N119" s="511">
        <v>7.2</v>
      </c>
      <c r="O119" s="511"/>
      <c r="P119" s="511"/>
      <c r="Q119" s="511"/>
      <c r="R119" s="511"/>
      <c r="S119" s="514"/>
      <c r="T119" s="479">
        <v>1</v>
      </c>
    </row>
    <row r="120" spans="2:20" ht="16.5" customHeight="1">
      <c r="B120" s="640"/>
      <c r="C120" s="640"/>
      <c r="D120" s="640"/>
      <c r="E120" s="631"/>
      <c r="F120" s="633"/>
      <c r="G120" s="230" t="s">
        <v>361</v>
      </c>
      <c r="H120" s="515">
        <v>7.94</v>
      </c>
      <c r="I120" s="516">
        <v>7.54</v>
      </c>
      <c r="J120" s="516">
        <v>7.54</v>
      </c>
      <c r="K120" s="516"/>
      <c r="L120" s="516"/>
      <c r="M120" s="516"/>
      <c r="N120" s="516"/>
      <c r="O120" s="516"/>
      <c r="P120" s="516"/>
      <c r="Q120" s="516"/>
      <c r="R120" s="516"/>
      <c r="S120" s="517"/>
      <c r="T120" s="479"/>
    </row>
    <row r="121" spans="2:20" ht="16.5" customHeight="1">
      <c r="B121" s="626" t="str">
        <f>VLOOKUP(T121,Table1[],4,0)</f>
        <v xml:space="preserve">TB I-4(M): Prevalența TB MDR printre cazurile noi de tuberculoză </v>
      </c>
      <c r="C121" s="626"/>
      <c r="D121" s="626"/>
      <c r="E121" s="636" t="str">
        <f>VLOOKUP(T121,Table1[],2,0)</f>
        <v>Indicator de impact</v>
      </c>
      <c r="F121" s="634" t="str">
        <f>VLOOKUP(T121,Table1[],3,0)</f>
        <v>TB</v>
      </c>
      <c r="G121" s="264" t="s">
        <v>360</v>
      </c>
      <c r="H121" s="518">
        <v>0.20499999999999999</v>
      </c>
      <c r="I121" s="518">
        <v>0.24</v>
      </c>
      <c r="J121" s="518">
        <v>0.24</v>
      </c>
      <c r="K121" s="518">
        <v>0.23</v>
      </c>
      <c r="L121" s="518">
        <v>0.23</v>
      </c>
      <c r="M121" s="518">
        <v>0.21</v>
      </c>
      <c r="N121" s="518">
        <v>0.21</v>
      </c>
      <c r="O121" s="519"/>
      <c r="P121" s="519"/>
      <c r="Q121" s="519"/>
      <c r="R121" s="519"/>
      <c r="S121" s="520"/>
      <c r="T121" s="479">
        <v>2</v>
      </c>
    </row>
    <row r="122" spans="2:20" ht="16.5" customHeight="1">
      <c r="B122" s="626"/>
      <c r="C122" s="626"/>
      <c r="D122" s="626"/>
      <c r="E122" s="637"/>
      <c r="F122" s="635"/>
      <c r="G122" s="264" t="s">
        <v>361</v>
      </c>
      <c r="H122" s="521">
        <v>0.26600000000000001</v>
      </c>
      <c r="I122" s="521">
        <v>0.27600000000000002</v>
      </c>
      <c r="J122" s="521">
        <v>0.27700000000000002</v>
      </c>
      <c r="K122" s="521"/>
      <c r="L122" s="521"/>
      <c r="M122" s="521"/>
      <c r="N122" s="521"/>
      <c r="O122" s="522"/>
      <c r="P122" s="522"/>
      <c r="Q122" s="522"/>
      <c r="R122" s="522"/>
      <c r="S122" s="523"/>
      <c r="T122" s="479"/>
    </row>
    <row r="123" spans="2:20" ht="16.5" customHeight="1">
      <c r="B123" s="640" t="str">
        <f>VLOOKUP(T123,Table1[],4,0)</f>
        <v>HIV I-4: Mortalitatea asociată cu SIDA la 100,000 populaţie</v>
      </c>
      <c r="C123" s="640"/>
      <c r="D123" s="640"/>
      <c r="E123" s="643" t="str">
        <f>VLOOKUP(T123,Table1[],2,0)</f>
        <v>Indicator de impact</v>
      </c>
      <c r="F123" s="632" t="str">
        <f>VLOOKUP(T123,Table1[],3,0)</f>
        <v>HIV</v>
      </c>
      <c r="G123" s="230" t="s">
        <v>360</v>
      </c>
      <c r="H123" s="524">
        <v>3.0599999999999999E-2</v>
      </c>
      <c r="I123" s="534" t="s">
        <v>506</v>
      </c>
      <c r="J123" s="525">
        <v>3.7999999999999999E-2</v>
      </c>
      <c r="K123" s="526" t="s">
        <v>506</v>
      </c>
      <c r="L123" s="526">
        <v>3.6999999999999998E-2</v>
      </c>
      <c r="M123" s="527" t="s">
        <v>506</v>
      </c>
      <c r="N123" s="527">
        <v>3.5999999999999997E-2</v>
      </c>
      <c r="O123" s="527"/>
      <c r="P123" s="527"/>
      <c r="Q123" s="527"/>
      <c r="R123" s="527"/>
      <c r="S123" s="528"/>
      <c r="T123" s="479">
        <v>3</v>
      </c>
    </row>
    <row r="124" spans="2:20" ht="16.5" customHeight="1">
      <c r="B124" s="640"/>
      <c r="C124" s="640"/>
      <c r="D124" s="640"/>
      <c r="E124" s="644"/>
      <c r="F124" s="633"/>
      <c r="G124" s="230" t="s">
        <v>361</v>
      </c>
      <c r="H124" s="529">
        <v>3.5999999999999997E-2</v>
      </c>
      <c r="I124" s="529" t="s">
        <v>506</v>
      </c>
      <c r="J124" s="529">
        <v>4.2700000000000002E-2</v>
      </c>
      <c r="K124" s="530"/>
      <c r="L124" s="530"/>
      <c r="M124" s="530"/>
      <c r="N124" s="530"/>
      <c r="O124" s="530"/>
      <c r="P124" s="530"/>
      <c r="Q124" s="530"/>
      <c r="R124" s="530"/>
      <c r="S124" s="531"/>
      <c r="T124" s="479"/>
    </row>
    <row r="125" spans="2:20" ht="16.5" customHeight="1">
      <c r="B125" s="626" t="str">
        <f>VLOOKUP(T125,Table1[],4,0)</f>
        <v xml:space="preserve">HIV I-9a (M): Procentul BSB care trăiesc cu HIV </v>
      </c>
      <c r="C125" s="626"/>
      <c r="D125" s="626"/>
      <c r="E125" s="636" t="str">
        <f>VLOOKUP(T125,Table1[],2,0)</f>
        <v>Indicator de impact</v>
      </c>
      <c r="F125" s="634" t="str">
        <f>VLOOKUP(T125,Table1[],3,0)</f>
        <v>HIV</v>
      </c>
      <c r="G125" s="264" t="s">
        <v>360</v>
      </c>
      <c r="H125" s="519" t="s">
        <v>506</v>
      </c>
      <c r="I125" s="534" t="s">
        <v>506</v>
      </c>
      <c r="J125" s="519" t="s">
        <v>506</v>
      </c>
      <c r="K125" s="519" t="s">
        <v>506</v>
      </c>
      <c r="L125" s="519" t="s">
        <v>506</v>
      </c>
      <c r="M125" s="551">
        <v>0.09</v>
      </c>
      <c r="N125" s="533"/>
      <c r="O125" s="533"/>
      <c r="P125" s="533"/>
      <c r="Q125" s="533"/>
      <c r="R125" s="533"/>
      <c r="S125" s="520"/>
      <c r="T125" s="479">
        <v>4</v>
      </c>
    </row>
    <row r="126" spans="2:20" ht="16.5" customHeight="1">
      <c r="B126" s="626"/>
      <c r="C126" s="626"/>
      <c r="D126" s="626"/>
      <c r="E126" s="637"/>
      <c r="F126" s="635"/>
      <c r="G126" s="264" t="s">
        <v>361</v>
      </c>
      <c r="H126" s="519" t="s">
        <v>506</v>
      </c>
      <c r="I126" s="529" t="s">
        <v>506</v>
      </c>
      <c r="J126" s="519" t="s">
        <v>506</v>
      </c>
      <c r="K126" s="532"/>
      <c r="L126" s="532"/>
      <c r="M126" s="533"/>
      <c r="N126" s="533"/>
      <c r="O126" s="533"/>
      <c r="P126" s="533"/>
      <c r="Q126" s="533"/>
      <c r="R126" s="533"/>
      <c r="S126" s="520"/>
      <c r="T126" s="479"/>
    </row>
    <row r="127" spans="2:20" ht="16.5" customHeight="1">
      <c r="B127" s="665" t="str">
        <f>VLOOKUP(T127,Table1[],4,0)</f>
        <v>HIV I-10 (M): Procentul LSC care trăiesc cu HIV</v>
      </c>
      <c r="C127" s="665"/>
      <c r="D127" s="665"/>
      <c r="E127" s="622" t="str">
        <f>VLOOKUP(T127,Table1[],2,0)</f>
        <v>Indicator de impact</v>
      </c>
      <c r="F127" s="624" t="str">
        <f>VLOOKUP(T127,Table1[],3,0)</f>
        <v>HIV</v>
      </c>
      <c r="G127" s="223" t="s">
        <v>360</v>
      </c>
      <c r="H127" s="534" t="s">
        <v>506</v>
      </c>
      <c r="I127" s="534" t="s">
        <v>506</v>
      </c>
      <c r="J127" s="534" t="s">
        <v>506</v>
      </c>
      <c r="K127" s="534" t="s">
        <v>506</v>
      </c>
      <c r="L127" s="534" t="s">
        <v>506</v>
      </c>
      <c r="M127" s="551">
        <v>3.9E-2</v>
      </c>
      <c r="N127" s="535"/>
      <c r="O127" s="535"/>
      <c r="P127" s="535"/>
      <c r="Q127" s="535"/>
      <c r="R127" s="535"/>
      <c r="S127" s="536"/>
      <c r="T127" s="479">
        <v>5</v>
      </c>
    </row>
    <row r="128" spans="2:20" ht="16.5" customHeight="1">
      <c r="B128" s="665"/>
      <c r="C128" s="665"/>
      <c r="D128" s="665"/>
      <c r="E128" s="623"/>
      <c r="F128" s="625"/>
      <c r="G128" s="223" t="s">
        <v>361</v>
      </c>
      <c r="H128" s="534" t="s">
        <v>506</v>
      </c>
      <c r="I128" s="529" t="s">
        <v>506</v>
      </c>
      <c r="J128" s="534" t="s">
        <v>506</v>
      </c>
      <c r="K128" s="535"/>
      <c r="L128" s="535"/>
      <c r="M128" s="535"/>
      <c r="N128" s="535"/>
      <c r="O128" s="535"/>
      <c r="P128" s="535"/>
      <c r="Q128" s="535"/>
      <c r="R128" s="535"/>
      <c r="S128" s="536"/>
      <c r="T128" s="479"/>
    </row>
    <row r="129" spans="2:20" ht="16.5" customHeight="1">
      <c r="B129" s="666" t="str">
        <f>VLOOKUP(T129,Table1[],4,0)</f>
        <v>HIV I-11 (M): Procentul consumatorilor de droguri injectabile care trăiesc cu HIV</v>
      </c>
      <c r="C129" s="666"/>
      <c r="D129" s="666"/>
      <c r="E129" s="667" t="str">
        <f>VLOOKUP(T129,Table1[],2,0)</f>
        <v>Indicator de impact</v>
      </c>
      <c r="F129" s="638" t="str">
        <f>VLOOKUP(T129,Table1[],3,0)</f>
        <v>HIV</v>
      </c>
      <c r="G129" s="222" t="s">
        <v>360</v>
      </c>
      <c r="H129" s="537" t="s">
        <v>506</v>
      </c>
      <c r="I129" s="534" t="s">
        <v>506</v>
      </c>
      <c r="J129" s="537" t="s">
        <v>506</v>
      </c>
      <c r="K129" s="537" t="s">
        <v>506</v>
      </c>
      <c r="L129" s="537" t="s">
        <v>506</v>
      </c>
      <c r="M129" s="551">
        <v>0.13900000000000001</v>
      </c>
      <c r="N129" s="533"/>
      <c r="O129" s="533"/>
      <c r="P129" s="533"/>
      <c r="Q129" s="533"/>
      <c r="R129" s="533"/>
      <c r="S129" s="520"/>
      <c r="T129" s="479">
        <v>6</v>
      </c>
    </row>
    <row r="130" spans="2:20" ht="16.5" customHeight="1">
      <c r="B130" s="666"/>
      <c r="C130" s="666"/>
      <c r="D130" s="666"/>
      <c r="E130" s="668"/>
      <c r="F130" s="639"/>
      <c r="G130" s="222" t="s">
        <v>361</v>
      </c>
      <c r="H130" s="537" t="s">
        <v>506</v>
      </c>
      <c r="I130" s="529" t="s">
        <v>506</v>
      </c>
      <c r="J130" s="537" t="s">
        <v>506</v>
      </c>
      <c r="K130" s="538"/>
      <c r="L130" s="532"/>
      <c r="M130" s="533"/>
      <c r="N130" s="533"/>
      <c r="O130" s="533"/>
      <c r="P130" s="533"/>
      <c r="Q130" s="533"/>
      <c r="R130" s="533"/>
      <c r="S130" s="520"/>
      <c r="T130" s="479"/>
    </row>
    <row r="131" spans="2:20" ht="16.5" customHeight="1">
      <c r="B131" s="621" t="str">
        <f>VLOOKUP(T131,Table1[],4,0)</f>
        <v xml:space="preserve">TB O-4(M): Rata succesului tratamentului pacienților cu RR TB și/sau MDR-TB </v>
      </c>
      <c r="C131" s="621"/>
      <c r="D131" s="621"/>
      <c r="E131" s="679" t="str">
        <f>VLOOKUP(T131,Table1[],2,0)</f>
        <v>Indicator de rezultat</v>
      </c>
      <c r="F131" s="678" t="str">
        <f>VLOOKUP(T131,Table1[],3,0)</f>
        <v>TB</v>
      </c>
      <c r="G131" s="223" t="s">
        <v>360</v>
      </c>
      <c r="H131" s="539">
        <v>0.65049999999999997</v>
      </c>
      <c r="I131" s="539">
        <v>0.65049999999999997</v>
      </c>
      <c r="J131" s="539">
        <v>0.6804</v>
      </c>
      <c r="K131" s="539">
        <v>0.6804</v>
      </c>
      <c r="L131" s="539">
        <v>0.72009999999999996</v>
      </c>
      <c r="M131" s="539">
        <v>0.72009999999999996</v>
      </c>
      <c r="N131" s="540"/>
      <c r="O131" s="540"/>
      <c r="P131" s="540"/>
      <c r="Q131" s="540"/>
      <c r="R131" s="540"/>
      <c r="S131" s="536"/>
      <c r="T131" s="479">
        <v>7</v>
      </c>
    </row>
    <row r="132" spans="2:20" ht="16.5" customHeight="1">
      <c r="B132" s="621"/>
      <c r="C132" s="621"/>
      <c r="D132" s="621"/>
      <c r="E132" s="623"/>
      <c r="F132" s="625"/>
      <c r="G132" s="223" t="s">
        <v>361</v>
      </c>
      <c r="H132" s="541">
        <v>0.52629999999999999</v>
      </c>
      <c r="I132" s="541">
        <v>0.54400000000000004</v>
      </c>
      <c r="J132" s="541">
        <v>0.52659999999999996</v>
      </c>
      <c r="K132" s="542"/>
      <c r="L132" s="542"/>
      <c r="M132" s="542"/>
      <c r="N132" s="542"/>
      <c r="O132" s="542"/>
      <c r="P132" s="542"/>
      <c r="Q132" s="542"/>
      <c r="R132" s="542"/>
      <c r="S132" s="543"/>
      <c r="T132" s="479"/>
    </row>
    <row r="133" spans="2:20" ht="16.5" customHeight="1">
      <c r="B133" s="666" t="str">
        <f>VLOOKUP(T133,Table1[],4,0)</f>
        <v>TB O-1a: Rata de notificare a cazurilor de tuberculoză (toate formele) per 100,000 populație</v>
      </c>
      <c r="C133" s="666"/>
      <c r="D133" s="666"/>
      <c r="E133" s="617" t="str">
        <f>VLOOKUP(T133,Table1[],2,0)</f>
        <v>Indicator de rezultat</v>
      </c>
      <c r="F133" s="619" t="str">
        <f>VLOOKUP(T133,Table1[],3,0)</f>
        <v>TB</v>
      </c>
      <c r="G133" s="231" t="s">
        <v>360</v>
      </c>
      <c r="H133" s="533">
        <v>103.5</v>
      </c>
      <c r="I133" s="533">
        <v>96</v>
      </c>
      <c r="J133" s="533">
        <v>96</v>
      </c>
      <c r="K133" s="533">
        <v>94.6</v>
      </c>
      <c r="L133" s="533">
        <v>94.6</v>
      </c>
      <c r="M133" s="533">
        <v>92.8</v>
      </c>
      <c r="N133" s="533">
        <v>92.8</v>
      </c>
      <c r="O133" s="544"/>
      <c r="P133" s="544"/>
      <c r="Q133" s="544"/>
      <c r="R133" s="544"/>
      <c r="S133" s="545"/>
      <c r="T133" s="479">
        <v>8</v>
      </c>
    </row>
    <row r="134" spans="2:20" ht="16.5" customHeight="1">
      <c r="B134" s="666"/>
      <c r="C134" s="666"/>
      <c r="D134" s="666"/>
      <c r="E134" s="618"/>
      <c r="F134" s="620"/>
      <c r="G134" s="231" t="s">
        <v>361</v>
      </c>
      <c r="H134" s="546">
        <v>83.17</v>
      </c>
      <c r="I134" s="546">
        <v>74.959999999999994</v>
      </c>
      <c r="J134" s="546">
        <v>75.150000000000006</v>
      </c>
      <c r="K134" s="547"/>
      <c r="L134" s="547"/>
      <c r="M134" s="547"/>
      <c r="N134" s="547"/>
      <c r="O134" s="547"/>
      <c r="P134" s="547"/>
      <c r="Q134" s="547"/>
      <c r="R134" s="547"/>
      <c r="S134" s="548"/>
      <c r="T134" s="479"/>
    </row>
    <row r="135" spans="2:20" ht="16.5" customHeight="1">
      <c r="B135" s="621" t="str">
        <f>VLOOKUP(T135,Table1[],4,0)</f>
        <v>TB O-5(M): Rata de acoperire cu tratament antituberculos</v>
      </c>
      <c r="C135" s="621"/>
      <c r="D135" s="621"/>
      <c r="E135" s="622" t="str">
        <f>VLOOKUP(T135,Table1[],2,0)</f>
        <v>Indicator de rezultat</v>
      </c>
      <c r="F135" s="624" t="str">
        <f>VLOOKUP(T135,Table1[],3,0)</f>
        <v>TB</v>
      </c>
      <c r="G135" s="223" t="s">
        <v>360</v>
      </c>
      <c r="H135" s="534" t="s">
        <v>506</v>
      </c>
      <c r="I135" s="534" t="s">
        <v>506</v>
      </c>
      <c r="J135" s="539">
        <v>0.87</v>
      </c>
      <c r="K135" s="549"/>
      <c r="L135" s="549"/>
      <c r="M135" s="549"/>
      <c r="N135" s="549"/>
      <c r="O135" s="549"/>
      <c r="P135" s="549"/>
      <c r="Q135" s="549"/>
      <c r="R135" s="549"/>
      <c r="S135" s="550"/>
      <c r="T135" s="479">
        <v>9</v>
      </c>
    </row>
    <row r="136" spans="2:20" ht="16.5" customHeight="1">
      <c r="B136" s="621"/>
      <c r="C136" s="621"/>
      <c r="D136" s="621"/>
      <c r="E136" s="623"/>
      <c r="F136" s="625"/>
      <c r="G136" s="223" t="s">
        <v>361</v>
      </c>
      <c r="H136" s="534" t="s">
        <v>506</v>
      </c>
      <c r="I136" s="534" t="s">
        <v>506</v>
      </c>
      <c r="J136" s="541">
        <v>0.86250000000000004</v>
      </c>
      <c r="K136" s="549"/>
      <c r="L136" s="549"/>
      <c r="M136" s="549"/>
      <c r="N136" s="549"/>
      <c r="O136" s="549"/>
      <c r="P136" s="549"/>
      <c r="Q136" s="549"/>
      <c r="R136" s="549"/>
      <c r="S136" s="550"/>
      <c r="T136" s="479"/>
    </row>
    <row r="137" spans="2:20" ht="16.5" customHeight="1">
      <c r="B137" s="666" t="str">
        <f>VLOOKUP(T137,Table1[],4,0)</f>
        <v xml:space="preserve">HIV O-1 (M): Procentul adulţilor şi copiilor HIV infectaţi care se află în tratament 12 luni după iniţierea tratamentului antiretroviral </v>
      </c>
      <c r="C137" s="666"/>
      <c r="D137" s="666"/>
      <c r="E137" s="617" t="str">
        <f>VLOOKUP(T137,Table1[],2,0)</f>
        <v>Indicator de rezultat</v>
      </c>
      <c r="F137" s="619" t="str">
        <f>VLOOKUP(T137,Table1[],3,0)</f>
        <v>HIV</v>
      </c>
      <c r="G137" s="231" t="s">
        <v>360</v>
      </c>
      <c r="H137" s="551">
        <v>0.85</v>
      </c>
      <c r="I137" s="534" t="s">
        <v>506</v>
      </c>
      <c r="J137" s="551">
        <v>0.84</v>
      </c>
      <c r="K137" s="526" t="s">
        <v>506</v>
      </c>
      <c r="L137" s="551">
        <v>0.85</v>
      </c>
      <c r="M137" s="526" t="s">
        <v>506</v>
      </c>
      <c r="N137" s="551">
        <v>0.86</v>
      </c>
      <c r="O137" s="544"/>
      <c r="P137" s="544"/>
      <c r="Q137" s="544"/>
      <c r="R137" s="544"/>
      <c r="S137" s="545"/>
      <c r="T137" s="479">
        <v>10</v>
      </c>
    </row>
    <row r="138" spans="2:20" ht="16.5" customHeight="1">
      <c r="B138" s="666"/>
      <c r="C138" s="666"/>
      <c r="D138" s="666"/>
      <c r="E138" s="618"/>
      <c r="F138" s="620"/>
      <c r="G138" s="231" t="s">
        <v>361</v>
      </c>
      <c r="H138" s="552">
        <v>0.83299999999999996</v>
      </c>
      <c r="I138" s="529" t="s">
        <v>506</v>
      </c>
      <c r="J138" s="552">
        <v>0.86799999999999999</v>
      </c>
      <c r="K138" s="547"/>
      <c r="L138" s="547"/>
      <c r="M138" s="547"/>
      <c r="N138" s="547"/>
      <c r="O138" s="547"/>
      <c r="P138" s="547"/>
      <c r="Q138" s="547"/>
      <c r="R138" s="547"/>
      <c r="S138" s="548"/>
      <c r="T138" s="479"/>
    </row>
    <row r="139" spans="2:20" ht="16.5" customHeight="1">
      <c r="B139" s="621" t="str">
        <f>VLOOKUP(T139,Table1[],4,0)</f>
        <v>HIV O-4a (M): Procentul BSB care raportează utilizarea prezervativului în timpul ultimului act de sex anal cu partenerul de gen masculin</v>
      </c>
      <c r="C139" s="621"/>
      <c r="D139" s="621"/>
      <c r="E139" s="622" t="str">
        <f>VLOOKUP(T139,Table1[],2,0)</f>
        <v>Indicator de rezultat</v>
      </c>
      <c r="F139" s="624" t="str">
        <f>VLOOKUP(T139,Table1[],3,0)</f>
        <v>HIV</v>
      </c>
      <c r="G139" s="223" t="s">
        <v>360</v>
      </c>
      <c r="H139" s="534" t="s">
        <v>506</v>
      </c>
      <c r="I139" s="534" t="s">
        <v>506</v>
      </c>
      <c r="J139" s="534" t="s">
        <v>506</v>
      </c>
      <c r="K139" s="534" t="s">
        <v>506</v>
      </c>
      <c r="L139" s="534" t="s">
        <v>506</v>
      </c>
      <c r="M139" s="551">
        <v>0.7</v>
      </c>
      <c r="N139" s="549"/>
      <c r="O139" s="549"/>
      <c r="P139" s="549"/>
      <c r="Q139" s="549"/>
      <c r="R139" s="549"/>
      <c r="S139" s="550"/>
      <c r="T139" s="479">
        <v>11</v>
      </c>
    </row>
    <row r="140" spans="2:20" ht="16.5" customHeight="1">
      <c r="B140" s="621"/>
      <c r="C140" s="621"/>
      <c r="D140" s="621"/>
      <c r="E140" s="623"/>
      <c r="F140" s="625"/>
      <c r="G140" s="223" t="s">
        <v>361</v>
      </c>
      <c r="H140" s="529" t="s">
        <v>506</v>
      </c>
      <c r="I140" s="529" t="s">
        <v>506</v>
      </c>
      <c r="J140" s="529" t="s">
        <v>506</v>
      </c>
      <c r="K140" s="549"/>
      <c r="L140" s="549"/>
      <c r="M140" s="549"/>
      <c r="N140" s="549"/>
      <c r="O140" s="549"/>
      <c r="P140" s="549"/>
      <c r="Q140" s="549"/>
      <c r="R140" s="549"/>
      <c r="S140" s="550"/>
      <c r="T140" s="479"/>
    </row>
    <row r="141" spans="2:20" ht="16.5" customHeight="1">
      <c r="B141" s="666" t="str">
        <f>VLOOKUP(T141,Table1[],4,0)</f>
        <v>HIV O-5 (M): Procentul LSC care raportează utilizarea prezervativului cu ultimul lor client</v>
      </c>
      <c r="C141" s="666"/>
      <c r="D141" s="666"/>
      <c r="E141" s="617" t="str">
        <f>VLOOKUP(T141,Table1[],2,0)</f>
        <v>Indicator de rezultat</v>
      </c>
      <c r="F141" s="619" t="str">
        <f>VLOOKUP(T141,Table1[],3,0)</f>
        <v>HIV</v>
      </c>
      <c r="G141" s="231" t="s">
        <v>360</v>
      </c>
      <c r="H141" s="534" t="s">
        <v>506</v>
      </c>
      <c r="I141" s="534" t="s">
        <v>506</v>
      </c>
      <c r="J141" s="534" t="s">
        <v>506</v>
      </c>
      <c r="K141" s="534" t="s">
        <v>506</v>
      </c>
      <c r="L141" s="534" t="s">
        <v>506</v>
      </c>
      <c r="M141" s="551">
        <v>0.9</v>
      </c>
      <c r="N141" s="544"/>
      <c r="O141" s="544"/>
      <c r="P141" s="544"/>
      <c r="Q141" s="544"/>
      <c r="R141" s="544"/>
      <c r="S141" s="545"/>
      <c r="T141" s="479">
        <v>12</v>
      </c>
    </row>
    <row r="142" spans="2:20" ht="16.5" customHeight="1">
      <c r="B142" s="666"/>
      <c r="C142" s="666"/>
      <c r="D142" s="666"/>
      <c r="E142" s="618"/>
      <c r="F142" s="620"/>
      <c r="G142" s="231" t="s">
        <v>361</v>
      </c>
      <c r="H142" s="529" t="s">
        <v>506</v>
      </c>
      <c r="I142" s="529" t="s">
        <v>506</v>
      </c>
      <c r="J142" s="529" t="s">
        <v>506</v>
      </c>
      <c r="K142" s="544"/>
      <c r="L142" s="544"/>
      <c r="M142" s="544"/>
      <c r="N142" s="544"/>
      <c r="O142" s="544"/>
      <c r="P142" s="544"/>
      <c r="Q142" s="544"/>
      <c r="R142" s="544"/>
      <c r="S142" s="545"/>
      <c r="T142" s="479"/>
    </row>
    <row r="143" spans="2:20" ht="16.5" customHeight="1">
      <c r="B143" s="621" t="str">
        <f>VLOOKUP(T143,Table1[],4,0)</f>
        <v>HIV O-6 (M): Procentul consumatorilor de droguri injectabile care raportează utilizarea setului pentru injectare steril la ultima injectare</v>
      </c>
      <c r="C143" s="621"/>
      <c r="D143" s="621"/>
      <c r="E143" s="622" t="str">
        <f>VLOOKUP(T143,Table1[],2,0)</f>
        <v>Indicator de rezultat</v>
      </c>
      <c r="F143" s="624" t="str">
        <f>VLOOKUP(T143,Table1[],3,0)</f>
        <v>HIV</v>
      </c>
      <c r="G143" s="223" t="s">
        <v>360</v>
      </c>
      <c r="H143" s="534" t="s">
        <v>506</v>
      </c>
      <c r="I143" s="534" t="s">
        <v>506</v>
      </c>
      <c r="J143" s="534" t="s">
        <v>506</v>
      </c>
      <c r="K143" s="534" t="s">
        <v>506</v>
      </c>
      <c r="L143" s="534" t="s">
        <v>506</v>
      </c>
      <c r="M143" s="551">
        <v>0.99</v>
      </c>
      <c r="N143" s="549"/>
      <c r="O143" s="549"/>
      <c r="P143" s="549"/>
      <c r="Q143" s="549"/>
      <c r="R143" s="549"/>
      <c r="S143" s="550"/>
      <c r="T143" s="479">
        <v>13</v>
      </c>
    </row>
    <row r="144" spans="2:20" ht="16.5" customHeight="1">
      <c r="B144" s="621"/>
      <c r="C144" s="621"/>
      <c r="D144" s="621"/>
      <c r="E144" s="623"/>
      <c r="F144" s="625"/>
      <c r="G144" s="223" t="s">
        <v>361</v>
      </c>
      <c r="H144" s="529" t="s">
        <v>506</v>
      </c>
      <c r="I144" s="529" t="s">
        <v>506</v>
      </c>
      <c r="J144" s="529" t="s">
        <v>506</v>
      </c>
      <c r="K144" s="549"/>
      <c r="L144" s="549"/>
      <c r="M144" s="549"/>
      <c r="N144" s="549"/>
      <c r="O144" s="549"/>
      <c r="P144" s="549"/>
      <c r="Q144" s="549"/>
      <c r="R144" s="549"/>
      <c r="S144" s="550"/>
      <c r="T144" s="479"/>
    </row>
    <row r="145" spans="2:20" ht="16.5" customHeight="1">
      <c r="B145" s="666" t="str">
        <f>VLOOKUP(T145,Table1[],4,0)</f>
        <v>MDR TB-2(M): Numărul cazurilor de TB DR (RR-TB și/sau MDR-TB), confirmate bacteriologic, notificate</v>
      </c>
      <c r="C145" s="666"/>
      <c r="D145" s="666"/>
      <c r="E145" s="617" t="str">
        <f>VLOOKUP(T145,Table1[],2,0)</f>
        <v>Indicator de proces</v>
      </c>
      <c r="F145" s="619" t="str">
        <f>VLOOKUP(T145,Table1[],3,0)</f>
        <v>TB</v>
      </c>
      <c r="G145" s="231" t="s">
        <v>360</v>
      </c>
      <c r="H145" s="553">
        <v>535</v>
      </c>
      <c r="I145" s="553">
        <v>1069</v>
      </c>
      <c r="J145" s="553">
        <v>512</v>
      </c>
      <c r="K145" s="553">
        <v>1023</v>
      </c>
      <c r="L145" s="544"/>
      <c r="M145" s="553">
        <v>1007</v>
      </c>
      <c r="N145" s="544"/>
      <c r="O145" s="544"/>
      <c r="P145" s="544"/>
      <c r="Q145" s="544"/>
      <c r="R145" s="544"/>
      <c r="S145" s="545"/>
      <c r="T145" s="479">
        <v>14</v>
      </c>
    </row>
    <row r="146" spans="2:20" ht="16.5" customHeight="1">
      <c r="B146" s="666"/>
      <c r="C146" s="666"/>
      <c r="D146" s="666"/>
      <c r="E146" s="618"/>
      <c r="F146" s="620"/>
      <c r="G146" s="231" t="s">
        <v>361</v>
      </c>
      <c r="H146" s="554">
        <v>376</v>
      </c>
      <c r="I146" s="554">
        <v>811</v>
      </c>
      <c r="J146" s="554">
        <v>348</v>
      </c>
      <c r="K146" s="547"/>
      <c r="L146" s="547"/>
      <c r="M146" s="547"/>
      <c r="N146" s="547"/>
      <c r="O146" s="547"/>
      <c r="P146" s="547"/>
      <c r="Q146" s="547"/>
      <c r="R146" s="547"/>
      <c r="S146" s="548"/>
      <c r="T146" s="479"/>
    </row>
    <row r="147" spans="2:20" ht="16.5" customHeight="1">
      <c r="B147" s="621" t="str">
        <f>VLOOKUP(T147,Table1[],4,0)</f>
        <v xml:space="preserve">MDR TB-3(M): Numărul cazurilor cu tuberculoză drog-rezistentă (RR-TB și/sau MDR-TB), confirmate bacteriologic, care au demarat tratamentul DOTS-Plus în perioada raportată                </v>
      </c>
      <c r="C147" s="621"/>
      <c r="D147" s="621"/>
      <c r="E147" s="622" t="str">
        <f>VLOOKUP(T147,Table1[],2,0)</f>
        <v>Indicator de proces</v>
      </c>
      <c r="F147" s="624" t="str">
        <f>VLOOKUP(T147,Table1[],3,0)</f>
        <v>TB</v>
      </c>
      <c r="G147" s="223" t="s">
        <v>360</v>
      </c>
      <c r="H147" s="535">
        <v>531</v>
      </c>
      <c r="I147" s="535">
        <v>1061</v>
      </c>
      <c r="J147" s="535">
        <v>507</v>
      </c>
      <c r="K147" s="535">
        <v>1013</v>
      </c>
      <c r="L147" s="549"/>
      <c r="M147" s="535">
        <v>982</v>
      </c>
      <c r="N147" s="549"/>
      <c r="O147" s="549"/>
      <c r="P147" s="549"/>
      <c r="Q147" s="549"/>
      <c r="R147" s="549"/>
      <c r="S147" s="550"/>
      <c r="T147" s="479">
        <v>15</v>
      </c>
    </row>
    <row r="148" spans="2:20" ht="16.5" customHeight="1">
      <c r="B148" s="621"/>
      <c r="C148" s="621"/>
      <c r="D148" s="621"/>
      <c r="E148" s="623"/>
      <c r="F148" s="625"/>
      <c r="G148" s="223" t="s">
        <v>361</v>
      </c>
      <c r="H148" s="555">
        <v>485</v>
      </c>
      <c r="I148" s="555">
        <v>937</v>
      </c>
      <c r="J148" s="555">
        <v>443</v>
      </c>
      <c r="K148" s="556"/>
      <c r="L148" s="556"/>
      <c r="M148" s="556"/>
      <c r="N148" s="556"/>
      <c r="O148" s="556"/>
      <c r="P148" s="556"/>
      <c r="Q148" s="556"/>
      <c r="R148" s="556"/>
      <c r="S148" s="557"/>
      <c r="T148" s="479"/>
    </row>
    <row r="149" spans="2:20" ht="16.5" customHeight="1">
      <c r="B149" s="666" t="str">
        <f>VLOOKUP(T149,Table1[],4,0)</f>
        <v>MDR TB-4: Rezultatul interimar de abandon al tratamentului cazurilor MDR-TB</v>
      </c>
      <c r="C149" s="666"/>
      <c r="D149" s="666"/>
      <c r="E149" s="617" t="str">
        <f>VLOOKUP(T149,Table1[],2,0)</f>
        <v>Indicator de proces</v>
      </c>
      <c r="F149" s="619" t="str">
        <f>VLOOKUP(T149,Table1[],3,0)</f>
        <v>TB</v>
      </c>
      <c r="G149" s="231" t="s">
        <v>360</v>
      </c>
      <c r="H149" s="551">
        <v>8.6999999999999994E-2</v>
      </c>
      <c r="I149" s="551">
        <v>8.6999999999999994E-2</v>
      </c>
      <c r="J149" s="551">
        <v>7.5999999999999998E-2</v>
      </c>
      <c r="K149" s="551">
        <v>7.5999999999999998E-2</v>
      </c>
      <c r="L149" s="551">
        <v>6.6000000000000003E-2</v>
      </c>
      <c r="M149" s="551">
        <v>6.6000000000000003E-2</v>
      </c>
      <c r="N149" s="544"/>
      <c r="O149" s="544"/>
      <c r="P149" s="544"/>
      <c r="Q149" s="544"/>
      <c r="R149" s="544"/>
      <c r="S149" s="545"/>
      <c r="T149" s="479">
        <v>16</v>
      </c>
    </row>
    <row r="150" spans="2:20" ht="16.5" customHeight="1">
      <c r="B150" s="666"/>
      <c r="C150" s="666"/>
      <c r="D150" s="666"/>
      <c r="E150" s="618"/>
      <c r="F150" s="620"/>
      <c r="G150" s="231" t="s">
        <v>361</v>
      </c>
      <c r="H150" s="558">
        <v>9.2700000000000005E-2</v>
      </c>
      <c r="I150" s="558">
        <v>9.5500000000000002E-2</v>
      </c>
      <c r="J150" s="558">
        <v>8.8300000000000003E-2</v>
      </c>
      <c r="K150" s="547"/>
      <c r="L150" s="547"/>
      <c r="M150" s="547"/>
      <c r="N150" s="547"/>
      <c r="O150" s="547"/>
      <c r="P150" s="547"/>
      <c r="Q150" s="547"/>
      <c r="R150" s="547"/>
      <c r="S150" s="548"/>
      <c r="T150" s="479"/>
    </row>
    <row r="151" spans="2:20" ht="16.5" customHeight="1">
      <c r="B151" s="621" t="str">
        <f>VLOOKUP(T151,Table1[],4,0)</f>
        <v>MDR TB-8: Numărul cazurilor de XDR TB incluși în tratament în perioada raportată</v>
      </c>
      <c r="C151" s="621"/>
      <c r="D151" s="621"/>
      <c r="E151" s="622" t="str">
        <f>VLOOKUP(T151,Table1[],2,0)</f>
        <v>Indicator de proces</v>
      </c>
      <c r="F151" s="624" t="str">
        <f>VLOOKUP(T151,Table1[],3,0)</f>
        <v>TB</v>
      </c>
      <c r="G151" s="223" t="s">
        <v>360</v>
      </c>
      <c r="H151" s="534" t="s">
        <v>506</v>
      </c>
      <c r="I151" s="553">
        <v>86</v>
      </c>
      <c r="J151" s="534" t="s">
        <v>506</v>
      </c>
      <c r="K151" s="553">
        <v>81</v>
      </c>
      <c r="L151" s="549"/>
      <c r="M151" s="553">
        <v>75</v>
      </c>
      <c r="N151" s="549"/>
      <c r="O151" s="549"/>
      <c r="P151" s="549"/>
      <c r="Q151" s="549"/>
      <c r="R151" s="549"/>
      <c r="S151" s="550"/>
      <c r="T151" s="479">
        <v>17</v>
      </c>
    </row>
    <row r="152" spans="2:20" ht="16.5" customHeight="1">
      <c r="B152" s="621"/>
      <c r="C152" s="621"/>
      <c r="D152" s="621"/>
      <c r="E152" s="623"/>
      <c r="F152" s="625"/>
      <c r="G152" s="223" t="s">
        <v>361</v>
      </c>
      <c r="H152" s="529" t="s">
        <v>506</v>
      </c>
      <c r="I152" s="554">
        <v>71</v>
      </c>
      <c r="J152" s="529" t="s">
        <v>506</v>
      </c>
      <c r="K152" s="549"/>
      <c r="L152" s="549"/>
      <c r="M152" s="549"/>
      <c r="N152" s="549"/>
      <c r="O152" s="549"/>
      <c r="P152" s="549"/>
      <c r="Q152" s="549"/>
      <c r="R152" s="549"/>
      <c r="S152" s="550"/>
      <c r="T152" s="479"/>
    </row>
    <row r="153" spans="2:20" ht="16.5" customHeight="1">
      <c r="B153" s="666" t="str">
        <f>VLOOKUP(T153,Table1[],4,0)</f>
        <v xml:space="preserve">KP-1d(M): Procentul consumatorilor de droguri injectabile acoperiți de programele de prevenire HIV - pachet definit de servicii </v>
      </c>
      <c r="C153" s="666"/>
      <c r="D153" s="666"/>
      <c r="E153" s="617" t="str">
        <f>VLOOKUP(T153,Table1[],2,0)</f>
        <v>Indicator de proces</v>
      </c>
      <c r="F153" s="619" t="str">
        <f>VLOOKUP(T153,Table1[],3,0)</f>
        <v>HIV</v>
      </c>
      <c r="G153" s="231" t="s">
        <v>360</v>
      </c>
      <c r="H153" s="533" t="s">
        <v>506</v>
      </c>
      <c r="I153" s="551">
        <v>0.53100000000000003</v>
      </c>
      <c r="J153" s="533" t="s">
        <v>506</v>
      </c>
      <c r="K153" s="551">
        <v>0.56999999999999995</v>
      </c>
      <c r="L153" s="533" t="s">
        <v>506</v>
      </c>
      <c r="M153" s="551">
        <v>0.6</v>
      </c>
      <c r="N153" s="544"/>
      <c r="O153" s="544"/>
      <c r="P153" s="544"/>
      <c r="Q153" s="544"/>
      <c r="R153" s="544"/>
      <c r="S153" s="545"/>
      <c r="T153" s="479">
        <v>18</v>
      </c>
    </row>
    <row r="154" spans="2:20" ht="16.5" customHeight="1">
      <c r="B154" s="666"/>
      <c r="C154" s="666"/>
      <c r="D154" s="666"/>
      <c r="E154" s="618"/>
      <c r="F154" s="620"/>
      <c r="G154" s="231" t="s">
        <v>361</v>
      </c>
      <c r="H154" s="559" t="s">
        <v>506</v>
      </c>
      <c r="I154" s="521">
        <v>0.56399999999999995</v>
      </c>
      <c r="J154" s="533" t="s">
        <v>506</v>
      </c>
      <c r="K154" s="547"/>
      <c r="L154" s="533" t="s">
        <v>506</v>
      </c>
      <c r="M154" s="547"/>
      <c r="N154" s="547"/>
      <c r="O154" s="547"/>
      <c r="P154" s="547"/>
      <c r="Q154" s="547"/>
      <c r="R154" s="547"/>
      <c r="S154" s="548"/>
      <c r="T154" s="479"/>
    </row>
    <row r="155" spans="2:20" ht="16.5" customHeight="1">
      <c r="B155" s="621" t="str">
        <f>VLOOKUP(T155,Table1[],4,0)</f>
        <v>KP-3d(M): Procentul consumatorilor de droguri injectabile care au fost testați pentru HIV în perioada de raportare și își cunosc rezultatele</v>
      </c>
      <c r="C155" s="621"/>
      <c r="D155" s="621"/>
      <c r="E155" s="622" t="str">
        <f>VLOOKUP(T155,Table1[],2,0)</f>
        <v>Indicator de proces</v>
      </c>
      <c r="F155" s="624" t="str">
        <f>VLOOKUP(T155,Table1[],3,0)</f>
        <v>HIV</v>
      </c>
      <c r="G155" s="223" t="s">
        <v>360</v>
      </c>
      <c r="H155" s="534" t="s">
        <v>506</v>
      </c>
      <c r="I155" s="551">
        <v>0.254</v>
      </c>
      <c r="J155" s="533" t="s">
        <v>506</v>
      </c>
      <c r="K155" s="551">
        <v>0.31900000000000001</v>
      </c>
      <c r="L155" s="533" t="s">
        <v>506</v>
      </c>
      <c r="M155" s="551">
        <v>0.38400000000000001</v>
      </c>
      <c r="N155" s="549"/>
      <c r="O155" s="549"/>
      <c r="P155" s="549"/>
      <c r="Q155" s="549"/>
      <c r="R155" s="549"/>
      <c r="S155" s="550"/>
      <c r="T155" s="479">
        <v>19</v>
      </c>
    </row>
    <row r="156" spans="2:20" ht="16.5" customHeight="1">
      <c r="B156" s="621"/>
      <c r="C156" s="621"/>
      <c r="D156" s="621"/>
      <c r="E156" s="623"/>
      <c r="F156" s="625"/>
      <c r="G156" s="223" t="s">
        <v>361</v>
      </c>
      <c r="H156" s="560" t="s">
        <v>506</v>
      </c>
      <c r="I156" s="521">
        <v>0.27600000000000002</v>
      </c>
      <c r="J156" s="533" t="s">
        <v>506</v>
      </c>
      <c r="K156" s="556"/>
      <c r="L156" s="533" t="s">
        <v>506</v>
      </c>
      <c r="M156" s="556"/>
      <c r="N156" s="556"/>
      <c r="O156" s="556"/>
      <c r="P156" s="556"/>
      <c r="Q156" s="556"/>
      <c r="R156" s="556"/>
      <c r="S156" s="557"/>
      <c r="T156" s="479"/>
    </row>
    <row r="157" spans="2:20" ht="16.5" customHeight="1">
      <c r="B157" s="666" t="str">
        <f>VLOOKUP(T157,Table1[],4,0)</f>
        <v xml:space="preserve">KP-1c(M): Procentul LSC acoperiți de programele de prevenire HIV - pachet definit de servicii </v>
      </c>
      <c r="C157" s="666"/>
      <c r="D157" s="666"/>
      <c r="E157" s="617" t="str">
        <f>VLOOKUP(T157,Table1[],2,0)</f>
        <v>Indicator de proces</v>
      </c>
      <c r="F157" s="619" t="str">
        <f>VLOOKUP(T157,Table1[],3,0)</f>
        <v>HIV</v>
      </c>
      <c r="G157" s="231" t="s">
        <v>360</v>
      </c>
      <c r="H157" s="533" t="s">
        <v>506</v>
      </c>
      <c r="I157" s="551">
        <v>0.48</v>
      </c>
      <c r="J157" s="533" t="s">
        <v>506</v>
      </c>
      <c r="K157" s="551">
        <v>0.54</v>
      </c>
      <c r="L157" s="533" t="s">
        <v>506</v>
      </c>
      <c r="M157" s="551">
        <v>0.6</v>
      </c>
      <c r="N157" s="544"/>
      <c r="O157" s="544"/>
      <c r="P157" s="544"/>
      <c r="Q157" s="544"/>
      <c r="R157" s="544"/>
      <c r="S157" s="545"/>
      <c r="T157" s="479">
        <v>20</v>
      </c>
    </row>
    <row r="158" spans="2:20" ht="16.5" customHeight="1">
      <c r="B158" s="666"/>
      <c r="C158" s="666"/>
      <c r="D158" s="666"/>
      <c r="E158" s="618"/>
      <c r="F158" s="620"/>
      <c r="G158" s="231" t="s">
        <v>361</v>
      </c>
      <c r="H158" s="559" t="s">
        <v>506</v>
      </c>
      <c r="I158" s="521">
        <v>0.39300000000000002</v>
      </c>
      <c r="J158" s="533" t="s">
        <v>506</v>
      </c>
      <c r="K158" s="547"/>
      <c r="L158" s="533" t="s">
        <v>506</v>
      </c>
      <c r="M158" s="547"/>
      <c r="N158" s="547"/>
      <c r="O158" s="547"/>
      <c r="P158" s="547"/>
      <c r="Q158" s="547"/>
      <c r="R158" s="547"/>
      <c r="S158" s="548"/>
      <c r="T158" s="479"/>
    </row>
    <row r="159" spans="2:20" ht="16.5" customHeight="1">
      <c r="B159" s="621" t="str">
        <f>VLOOKUP(T159,Table1[],4,0)</f>
        <v>KP-3c(M): Procentul LSC care au fost testați pentru HIV în perioada de raportare și își cunosc rezultatele</v>
      </c>
      <c r="C159" s="621"/>
      <c r="D159" s="621"/>
      <c r="E159" s="622" t="str">
        <f>VLOOKUP(T159,Table1[],2,0)</f>
        <v>Indicator de proces</v>
      </c>
      <c r="F159" s="624" t="str">
        <f>VLOOKUP(T159,Table1[],3,0)</f>
        <v>HIV</v>
      </c>
      <c r="G159" s="223" t="s">
        <v>360</v>
      </c>
      <c r="H159" s="534" t="s">
        <v>506</v>
      </c>
      <c r="I159" s="551">
        <v>0.23100000000000001</v>
      </c>
      <c r="J159" s="533" t="s">
        <v>506</v>
      </c>
      <c r="K159" s="551">
        <v>0.30299999999999999</v>
      </c>
      <c r="L159" s="533" t="s">
        <v>506</v>
      </c>
      <c r="M159" s="551">
        <v>0.38400000000000001</v>
      </c>
      <c r="N159" s="549"/>
      <c r="O159" s="549"/>
      <c r="P159" s="549"/>
      <c r="Q159" s="549"/>
      <c r="R159" s="549"/>
      <c r="S159" s="550"/>
      <c r="T159" s="479">
        <v>21</v>
      </c>
    </row>
    <row r="160" spans="2:20" ht="16.5" customHeight="1">
      <c r="B160" s="621"/>
      <c r="C160" s="621"/>
      <c r="D160" s="621"/>
      <c r="E160" s="623"/>
      <c r="F160" s="625"/>
      <c r="G160" s="223" t="s">
        <v>361</v>
      </c>
      <c r="H160" s="560" t="s">
        <v>506</v>
      </c>
      <c r="I160" s="521">
        <v>0.255</v>
      </c>
      <c r="J160" s="533" t="s">
        <v>506</v>
      </c>
      <c r="K160" s="556"/>
      <c r="L160" s="533" t="s">
        <v>506</v>
      </c>
      <c r="M160" s="556"/>
      <c r="N160" s="556"/>
      <c r="O160" s="556"/>
      <c r="P160" s="556"/>
      <c r="Q160" s="556"/>
      <c r="R160" s="556"/>
      <c r="S160" s="557"/>
      <c r="T160" s="479"/>
    </row>
    <row r="161" spans="2:21" ht="16.5" customHeight="1">
      <c r="B161" s="666" t="str">
        <f>VLOOKUP(T161,Table1[],4,0)</f>
        <v xml:space="preserve">KP-1a(M): Procentul BSB acoperiți de programele de prevenire HIV - pachet definit de servicii </v>
      </c>
      <c r="C161" s="666"/>
      <c r="D161" s="666"/>
      <c r="E161" s="617" t="str">
        <f>VLOOKUP(T161,Table1[],2,0)</f>
        <v>Indicator de proces</v>
      </c>
      <c r="F161" s="619" t="str">
        <f>VLOOKUP(T161,Table1[],3,0)</f>
        <v>HIV</v>
      </c>
      <c r="G161" s="231" t="s">
        <v>360</v>
      </c>
      <c r="H161" s="533" t="s">
        <v>506</v>
      </c>
      <c r="I161" s="551">
        <v>0.32</v>
      </c>
      <c r="J161" s="533" t="s">
        <v>506</v>
      </c>
      <c r="K161" s="551">
        <v>0.36</v>
      </c>
      <c r="L161" s="533" t="s">
        <v>506</v>
      </c>
      <c r="M161" s="551">
        <v>0.4</v>
      </c>
      <c r="N161" s="544"/>
      <c r="O161" s="544"/>
      <c r="P161" s="544"/>
      <c r="Q161" s="544"/>
      <c r="R161" s="544"/>
      <c r="S161" s="545"/>
      <c r="T161" s="479">
        <v>22</v>
      </c>
    </row>
    <row r="162" spans="2:21" ht="16.5" customHeight="1">
      <c r="B162" s="666"/>
      <c r="C162" s="666"/>
      <c r="D162" s="666"/>
      <c r="E162" s="618"/>
      <c r="F162" s="620"/>
      <c r="G162" s="231" t="s">
        <v>361</v>
      </c>
      <c r="H162" s="559" t="s">
        <v>506</v>
      </c>
      <c r="I162" s="521">
        <v>0.27100000000000002</v>
      </c>
      <c r="J162" s="533" t="s">
        <v>506</v>
      </c>
      <c r="K162" s="547"/>
      <c r="L162" s="533" t="s">
        <v>506</v>
      </c>
      <c r="M162" s="547"/>
      <c r="N162" s="547"/>
      <c r="O162" s="547"/>
      <c r="P162" s="547"/>
      <c r="Q162" s="547"/>
      <c r="R162" s="547"/>
      <c r="S162" s="548"/>
      <c r="T162" s="479"/>
    </row>
    <row r="163" spans="2:21" ht="16.5" customHeight="1">
      <c r="B163" s="621" t="str">
        <f>VLOOKUP(T163,Table1[],4,0)</f>
        <v>KP-3a(M): Procentul BSB care au fost testați pentru HIV în perioada de raportare și își cunosc rezultatele</v>
      </c>
      <c r="C163" s="621"/>
      <c r="D163" s="621"/>
      <c r="E163" s="622" t="str">
        <f>VLOOKUP(T163,Table1[],2,0)</f>
        <v>Indicator de proces</v>
      </c>
      <c r="F163" s="624" t="str">
        <f>VLOOKUP(T163,Table1[],3,0)</f>
        <v>HIV</v>
      </c>
      <c r="G163" s="223" t="s">
        <v>360</v>
      </c>
      <c r="H163" s="534" t="s">
        <v>506</v>
      </c>
      <c r="I163" s="551">
        <v>0.17100000000000001</v>
      </c>
      <c r="J163" s="533" t="s">
        <v>506</v>
      </c>
      <c r="K163" s="551">
        <v>0.22600000000000001</v>
      </c>
      <c r="L163" s="533" t="s">
        <v>506</v>
      </c>
      <c r="M163" s="551">
        <v>0.28799999999999998</v>
      </c>
      <c r="N163" s="549"/>
      <c r="O163" s="549"/>
      <c r="P163" s="549"/>
      <c r="Q163" s="549"/>
      <c r="R163" s="549"/>
      <c r="S163" s="550"/>
      <c r="T163" s="479">
        <v>23</v>
      </c>
    </row>
    <row r="164" spans="2:21" ht="16.5" customHeight="1">
      <c r="B164" s="621"/>
      <c r="C164" s="621"/>
      <c r="D164" s="621"/>
      <c r="E164" s="623"/>
      <c r="F164" s="625"/>
      <c r="G164" s="223" t="s">
        <v>361</v>
      </c>
      <c r="H164" s="560" t="s">
        <v>506</v>
      </c>
      <c r="I164" s="521">
        <v>0.16700000000000001</v>
      </c>
      <c r="J164" s="533" t="s">
        <v>506</v>
      </c>
      <c r="K164" s="556"/>
      <c r="L164" s="533" t="s">
        <v>506</v>
      </c>
      <c r="M164" s="556"/>
      <c r="N164" s="556"/>
      <c r="O164" s="556"/>
      <c r="P164" s="556"/>
      <c r="Q164" s="556"/>
      <c r="R164" s="556"/>
      <c r="S164" s="557"/>
      <c r="T164" s="479"/>
    </row>
    <row r="165" spans="2:21" ht="16.5" customHeight="1">
      <c r="B165" s="666" t="str">
        <f>VLOOKUP(T165,Table1[],4,0)</f>
        <v xml:space="preserve">TCS-1 (M): Procentul adulţilor şi copiilor care trăiesc cu HIV și urmează tratament antiretroviral </v>
      </c>
      <c r="C165" s="666"/>
      <c r="D165" s="666"/>
      <c r="E165" s="617" t="str">
        <f>VLOOKUP(T165,Table1[],2,0)</f>
        <v>Indicator de proces</v>
      </c>
      <c r="F165" s="619" t="str">
        <f>VLOOKUP(T165,Table1[],3,0)</f>
        <v>HIV</v>
      </c>
      <c r="G165" s="231" t="s">
        <v>360</v>
      </c>
      <c r="H165" s="533" t="s">
        <v>506</v>
      </c>
      <c r="I165" s="551">
        <v>0.34499999999999997</v>
      </c>
      <c r="J165" s="533" t="s">
        <v>506</v>
      </c>
      <c r="K165" s="551">
        <v>0.41399999999999998</v>
      </c>
      <c r="L165" s="533" t="s">
        <v>506</v>
      </c>
      <c r="M165" s="551">
        <v>0.49199999999999999</v>
      </c>
      <c r="N165" s="544"/>
      <c r="O165" s="544"/>
      <c r="P165" s="544"/>
      <c r="Q165" s="544"/>
      <c r="R165" s="544"/>
      <c r="S165" s="545"/>
      <c r="T165" s="479">
        <v>24</v>
      </c>
    </row>
    <row r="166" spans="2:21" ht="16.5" customHeight="1">
      <c r="B166" s="666"/>
      <c r="C166" s="666"/>
      <c r="D166" s="666"/>
      <c r="E166" s="618"/>
      <c r="F166" s="620"/>
      <c r="G166" s="231" t="s">
        <v>361</v>
      </c>
      <c r="H166" s="559" t="s">
        <v>506</v>
      </c>
      <c r="I166" s="521">
        <v>0.37</v>
      </c>
      <c r="J166" s="559" t="s">
        <v>506</v>
      </c>
      <c r="K166" s="547"/>
      <c r="L166" s="559" t="s">
        <v>506</v>
      </c>
      <c r="M166" s="547"/>
      <c r="N166" s="547"/>
      <c r="O166" s="547"/>
      <c r="P166" s="547"/>
      <c r="Q166" s="547"/>
      <c r="R166" s="547"/>
      <c r="S166" s="548"/>
      <c r="T166" s="479"/>
    </row>
    <row r="167" spans="2:21">
      <c r="G167" s="2"/>
      <c r="N167" s="3"/>
      <c r="O167" s="3"/>
      <c r="R167" s="238"/>
      <c r="S167" s="238"/>
    </row>
    <row r="168" spans="2:21" ht="16.5" thickBot="1">
      <c r="B168" s="178"/>
      <c r="G168" s="2"/>
      <c r="N168" s="3"/>
      <c r="O168" s="3"/>
      <c r="R168" s="238"/>
      <c r="S168" s="238"/>
    </row>
    <row r="169" spans="2:21" ht="41.25" hidden="1" customHeight="1">
      <c r="B169" s="3" t="s">
        <v>410</v>
      </c>
      <c r="E169" s="177" t="s">
        <v>363</v>
      </c>
      <c r="F169" s="234" t="s">
        <v>364</v>
      </c>
      <c r="G169" s="139"/>
      <c r="H169" s="477" t="str">
        <f t="shared" ref="H169:S169" si="11">C30</f>
        <v>P1</v>
      </c>
      <c r="I169" s="477" t="str">
        <f t="shared" si="11"/>
        <v>P2</v>
      </c>
      <c r="J169" s="477" t="str">
        <f t="shared" si="11"/>
        <v>P3</v>
      </c>
      <c r="K169" s="477" t="str">
        <f t="shared" si="11"/>
        <v>P4</v>
      </c>
      <c r="L169" s="477" t="str">
        <f t="shared" si="11"/>
        <v>P5</v>
      </c>
      <c r="M169" s="477" t="str">
        <f t="shared" si="11"/>
        <v>P6</v>
      </c>
      <c r="N169" s="477" t="str">
        <f t="shared" si="11"/>
        <v>P7</v>
      </c>
      <c r="O169" s="477" t="str">
        <f t="shared" si="11"/>
        <v>P8</v>
      </c>
      <c r="P169" s="477" t="str">
        <f t="shared" si="11"/>
        <v>P9</v>
      </c>
      <c r="Q169" s="477" t="str">
        <f t="shared" si="11"/>
        <v>P10</v>
      </c>
      <c r="R169" s="477" t="str">
        <f t="shared" si="11"/>
        <v>P11</v>
      </c>
      <c r="S169" s="478" t="str">
        <f t="shared" si="11"/>
        <v>P12</v>
      </c>
      <c r="T169" s="238"/>
      <c r="U169" s="238"/>
    </row>
    <row r="170" spans="2:21" ht="25.5" hidden="1" customHeight="1">
      <c r="B170" s="652" t="str">
        <f>IF(ISBLANK(B119),"",(B119))</f>
        <v>TB I-3(M): Rata mortalităţii  - Numărul estimat de decese cauzate de TB (toate formele) pe an, la 100,000 persoane</v>
      </c>
      <c r="C170" s="669"/>
      <c r="D170" s="670"/>
      <c r="E170" s="682" t="str">
        <f>IF(ISBLANK(E119),"",(E119))</f>
        <v>Indicator de impact</v>
      </c>
      <c r="F170" s="681" t="str">
        <f>IF(ISBLANK(F119),"",(F119))</f>
        <v>TB</v>
      </c>
      <c r="G170" s="230" t="s">
        <v>360</v>
      </c>
      <c r="H170" s="320">
        <f t="shared" ref="H170:L175" si="12">H119</f>
        <v>8.6999999999999993</v>
      </c>
      <c r="I170" s="320">
        <f t="shared" si="12"/>
        <v>8.1999999999999993</v>
      </c>
      <c r="J170" s="320">
        <f t="shared" si="12"/>
        <v>8.1999999999999993</v>
      </c>
      <c r="K170" s="320">
        <f t="shared" si="12"/>
        <v>7.7</v>
      </c>
      <c r="L170" s="320">
        <f t="shared" si="12"/>
        <v>7.7</v>
      </c>
      <c r="M170" s="320">
        <f t="shared" ref="M170:S175" si="13">M119</f>
        <v>7.2</v>
      </c>
      <c r="N170" s="320">
        <f t="shared" si="13"/>
        <v>7.2</v>
      </c>
      <c r="O170" s="320">
        <f t="shared" si="13"/>
        <v>0</v>
      </c>
      <c r="P170" s="320">
        <f t="shared" si="13"/>
        <v>0</v>
      </c>
      <c r="Q170" s="320">
        <f t="shared" si="13"/>
        <v>0</v>
      </c>
      <c r="R170" s="320">
        <f t="shared" si="13"/>
        <v>0</v>
      </c>
      <c r="S170" s="321">
        <f t="shared" si="13"/>
        <v>0</v>
      </c>
      <c r="T170" s="238"/>
      <c r="U170" s="238"/>
    </row>
    <row r="171" spans="2:21" ht="25.5" hidden="1" customHeight="1">
      <c r="B171" s="671"/>
      <c r="C171" s="672"/>
      <c r="D171" s="673"/>
      <c r="E171" s="682"/>
      <c r="F171" s="681"/>
      <c r="G171" s="230" t="s">
        <v>361</v>
      </c>
      <c r="H171" s="322">
        <f t="shared" si="12"/>
        <v>7.94</v>
      </c>
      <c r="I171" s="322">
        <f t="shared" si="12"/>
        <v>7.54</v>
      </c>
      <c r="J171" s="322">
        <f t="shared" si="12"/>
        <v>7.54</v>
      </c>
      <c r="K171" s="322">
        <f t="shared" si="12"/>
        <v>0</v>
      </c>
      <c r="L171" s="322">
        <f t="shared" si="12"/>
        <v>0</v>
      </c>
      <c r="M171" s="320">
        <f t="shared" si="13"/>
        <v>0</v>
      </c>
      <c r="N171" s="320">
        <f t="shared" si="13"/>
        <v>0</v>
      </c>
      <c r="O171" s="320">
        <f t="shared" si="13"/>
        <v>0</v>
      </c>
      <c r="P171" s="320">
        <f t="shared" si="13"/>
        <v>0</v>
      </c>
      <c r="Q171" s="320">
        <f t="shared" si="13"/>
        <v>0</v>
      </c>
      <c r="R171" s="320">
        <f t="shared" si="13"/>
        <v>0</v>
      </c>
      <c r="S171" s="321">
        <f t="shared" si="13"/>
        <v>0</v>
      </c>
      <c r="T171" s="238"/>
      <c r="U171" s="238"/>
    </row>
    <row r="172" spans="2:21" ht="26.25" hidden="1" customHeight="1">
      <c r="B172" s="659" t="str">
        <f>IF(ISBLANK(B121),"",(B121))</f>
        <v xml:space="preserve">TB I-4(M): Prevalența TB MDR printre cazurile noi de tuberculoză </v>
      </c>
      <c r="C172" s="660"/>
      <c r="D172" s="661"/>
      <c r="E172" s="658" t="str">
        <f>IF(ISBLANK(E121),"",(E121))</f>
        <v>Indicator de impact</v>
      </c>
      <c r="F172" s="680" t="str">
        <f>IF(ISBLANK(F121),"",(F121))</f>
        <v>TB</v>
      </c>
      <c r="G172" s="231" t="s">
        <v>360</v>
      </c>
      <c r="H172" s="323">
        <f t="shared" si="12"/>
        <v>0.20499999999999999</v>
      </c>
      <c r="I172" s="323">
        <f t="shared" si="12"/>
        <v>0.24</v>
      </c>
      <c r="J172" s="323">
        <f t="shared" si="12"/>
        <v>0.24</v>
      </c>
      <c r="K172" s="323">
        <f t="shared" si="12"/>
        <v>0.23</v>
      </c>
      <c r="L172" s="323">
        <f t="shared" si="12"/>
        <v>0.23</v>
      </c>
      <c r="M172" s="323">
        <f t="shared" si="13"/>
        <v>0.21</v>
      </c>
      <c r="N172" s="323">
        <f t="shared" si="13"/>
        <v>0.21</v>
      </c>
      <c r="O172" s="323">
        <f t="shared" si="13"/>
        <v>0</v>
      </c>
      <c r="P172" s="323">
        <f t="shared" si="13"/>
        <v>0</v>
      </c>
      <c r="Q172" s="323">
        <f t="shared" si="13"/>
        <v>0</v>
      </c>
      <c r="R172" s="323">
        <f t="shared" si="13"/>
        <v>0</v>
      </c>
      <c r="S172" s="324">
        <f t="shared" si="13"/>
        <v>0</v>
      </c>
      <c r="T172" s="238"/>
      <c r="U172" s="238"/>
    </row>
    <row r="173" spans="2:21" ht="28.5" hidden="1" customHeight="1">
      <c r="B173" s="662"/>
      <c r="C173" s="663"/>
      <c r="D173" s="664"/>
      <c r="E173" s="658"/>
      <c r="F173" s="680"/>
      <c r="G173" s="231" t="s">
        <v>361</v>
      </c>
      <c r="H173" s="323">
        <f t="shared" si="12"/>
        <v>0.26600000000000001</v>
      </c>
      <c r="I173" s="323">
        <f t="shared" si="12"/>
        <v>0.27600000000000002</v>
      </c>
      <c r="J173" s="323">
        <f t="shared" si="12"/>
        <v>0.27700000000000002</v>
      </c>
      <c r="K173" s="323">
        <f t="shared" si="12"/>
        <v>0</v>
      </c>
      <c r="L173" s="323">
        <f t="shared" si="12"/>
        <v>0</v>
      </c>
      <c r="M173" s="323">
        <f t="shared" si="13"/>
        <v>0</v>
      </c>
      <c r="N173" s="323">
        <f t="shared" si="13"/>
        <v>0</v>
      </c>
      <c r="O173" s="323">
        <f t="shared" si="13"/>
        <v>0</v>
      </c>
      <c r="P173" s="323">
        <f t="shared" si="13"/>
        <v>0</v>
      </c>
      <c r="Q173" s="323">
        <f t="shared" si="13"/>
        <v>0</v>
      </c>
      <c r="R173" s="323">
        <f t="shared" si="13"/>
        <v>0</v>
      </c>
      <c r="S173" s="324">
        <f t="shared" si="13"/>
        <v>0</v>
      </c>
      <c r="T173" s="238"/>
      <c r="U173" s="238"/>
    </row>
    <row r="174" spans="2:21" ht="31.5" hidden="1" customHeight="1">
      <c r="B174" s="652" t="str">
        <f>IF(ISBLANK(B123),"",(B123))</f>
        <v>HIV I-4: Mortalitatea asociată cu SIDA la 100,000 populaţie</v>
      </c>
      <c r="C174" s="653"/>
      <c r="D174" s="654"/>
      <c r="E174" s="676" t="str">
        <f>IF(ISBLANK(E123),"",(E123))</f>
        <v>Indicator de impact</v>
      </c>
      <c r="F174" s="674" t="str">
        <f>IF(ISBLANK(F123),"",(F123))</f>
        <v>HIV</v>
      </c>
      <c r="G174" s="230" t="s">
        <v>360</v>
      </c>
      <c r="H174" s="320">
        <f t="shared" si="12"/>
        <v>3.0599999999999999E-2</v>
      </c>
      <c r="I174" s="320" t="str">
        <f t="shared" ref="I174:L174" si="14">I123</f>
        <v>n/a</v>
      </c>
      <c r="J174" s="320">
        <f t="shared" si="14"/>
        <v>3.7999999999999999E-2</v>
      </c>
      <c r="K174" s="320" t="str">
        <f t="shared" si="14"/>
        <v>n/a</v>
      </c>
      <c r="L174" s="320">
        <f t="shared" si="14"/>
        <v>3.6999999999999998E-2</v>
      </c>
      <c r="M174" s="320" t="str">
        <f t="shared" si="13"/>
        <v>n/a</v>
      </c>
      <c r="N174" s="320">
        <f t="shared" si="13"/>
        <v>3.5999999999999997E-2</v>
      </c>
      <c r="O174" s="320">
        <f t="shared" si="13"/>
        <v>0</v>
      </c>
      <c r="P174" s="320">
        <f t="shared" si="13"/>
        <v>0</v>
      </c>
      <c r="Q174" s="320">
        <f t="shared" si="13"/>
        <v>0</v>
      </c>
      <c r="R174" s="320">
        <f t="shared" si="13"/>
        <v>0</v>
      </c>
      <c r="S174" s="321">
        <f t="shared" si="13"/>
        <v>0</v>
      </c>
      <c r="T174" s="238"/>
      <c r="U174" s="238"/>
    </row>
    <row r="175" spans="2:21" ht="30.75" hidden="1" customHeight="1" thickBot="1">
      <c r="B175" s="655"/>
      <c r="C175" s="656"/>
      <c r="D175" s="657"/>
      <c r="E175" s="677"/>
      <c r="F175" s="675"/>
      <c r="G175" s="235" t="s">
        <v>361</v>
      </c>
      <c r="H175" s="325">
        <f t="shared" si="12"/>
        <v>3.5999999999999997E-2</v>
      </c>
      <c r="I175" s="325" t="str">
        <f t="shared" ref="I175:L175" si="15">I124</f>
        <v>n/a</v>
      </c>
      <c r="J175" s="325">
        <f t="shared" si="15"/>
        <v>4.2700000000000002E-2</v>
      </c>
      <c r="K175" s="325">
        <f t="shared" si="15"/>
        <v>0</v>
      </c>
      <c r="L175" s="325">
        <f t="shared" si="15"/>
        <v>0</v>
      </c>
      <c r="M175" s="325">
        <f t="shared" si="13"/>
        <v>0</v>
      </c>
      <c r="N175" s="325">
        <f t="shared" si="13"/>
        <v>0</v>
      </c>
      <c r="O175" s="325">
        <f t="shared" si="13"/>
        <v>0</v>
      </c>
      <c r="P175" s="325">
        <f t="shared" si="13"/>
        <v>0</v>
      </c>
      <c r="Q175" s="325">
        <f t="shared" si="13"/>
        <v>0</v>
      </c>
      <c r="R175" s="325">
        <f t="shared" si="13"/>
        <v>0</v>
      </c>
      <c r="S175" s="326">
        <f t="shared" si="13"/>
        <v>0</v>
      </c>
      <c r="T175" s="238"/>
      <c r="U175" s="238"/>
    </row>
    <row r="176" spans="2:21">
      <c r="N176" s="3"/>
      <c r="O176" s="3"/>
      <c r="P176" s="238"/>
      <c r="Q176" s="238"/>
      <c r="S176" s="480"/>
    </row>
    <row r="177" spans="14:17">
      <c r="N177" s="3"/>
      <c r="O177" s="3"/>
      <c r="P177" s="238"/>
      <c r="Q177" s="238"/>
    </row>
    <row r="178" spans="14:17">
      <c r="N178" s="3"/>
      <c r="O178" s="3"/>
      <c r="P178" s="238"/>
      <c r="Q178" s="238"/>
    </row>
    <row r="179" spans="14:17">
      <c r="N179" s="3"/>
      <c r="O179" s="3"/>
      <c r="P179" s="238"/>
      <c r="Q179" s="238"/>
    </row>
  </sheetData>
  <dataConsolidate link="1"/>
  <mergeCells count="113">
    <mergeCell ref="B157:D158"/>
    <mergeCell ref="E157:E158"/>
    <mergeCell ref="F157:F158"/>
    <mergeCell ref="B159:D160"/>
    <mergeCell ref="E159:E160"/>
    <mergeCell ref="F159:F160"/>
    <mergeCell ref="B153:D154"/>
    <mergeCell ref="B165:D166"/>
    <mergeCell ref="E165:E166"/>
    <mergeCell ref="F165:F166"/>
    <mergeCell ref="B161:D162"/>
    <mergeCell ref="E161:E162"/>
    <mergeCell ref="F161:F162"/>
    <mergeCell ref="B163:D164"/>
    <mergeCell ref="E163:E164"/>
    <mergeCell ref="F163:F164"/>
    <mergeCell ref="E153:E154"/>
    <mergeCell ref="F153:F154"/>
    <mergeCell ref="B155:D156"/>
    <mergeCell ref="B145:D146"/>
    <mergeCell ref="E145:E146"/>
    <mergeCell ref="F145:F146"/>
    <mergeCell ref="B147:D148"/>
    <mergeCell ref="E147:E148"/>
    <mergeCell ref="F147:F148"/>
    <mergeCell ref="E155:E156"/>
    <mergeCell ref="F155:F156"/>
    <mergeCell ref="B149:D150"/>
    <mergeCell ref="E149:E150"/>
    <mergeCell ref="F149:F150"/>
    <mergeCell ref="B151:D152"/>
    <mergeCell ref="E151:E152"/>
    <mergeCell ref="F151:F152"/>
    <mergeCell ref="B141:D142"/>
    <mergeCell ref="E141:E142"/>
    <mergeCell ref="F141:F142"/>
    <mergeCell ref="B143:D144"/>
    <mergeCell ref="E143:E144"/>
    <mergeCell ref="F143:F144"/>
    <mergeCell ref="B2:J2"/>
    <mergeCell ref="C4:D4"/>
    <mergeCell ref="E4:F4"/>
    <mergeCell ref="G4:J4"/>
    <mergeCell ref="H16:I16"/>
    <mergeCell ref="C10:D10"/>
    <mergeCell ref="E12:F12"/>
    <mergeCell ref="I8:J8"/>
    <mergeCell ref="I6:J6"/>
    <mergeCell ref="G12:J12"/>
    <mergeCell ref="G10:J10"/>
    <mergeCell ref="C6:D6"/>
    <mergeCell ref="E6:F6"/>
    <mergeCell ref="C8:D8"/>
    <mergeCell ref="B14:J14"/>
    <mergeCell ref="C12:D12"/>
    <mergeCell ref="B74:C74"/>
    <mergeCell ref="B118:D118"/>
    <mergeCell ref="B26:C26"/>
    <mergeCell ref="D24:E24"/>
    <mergeCell ref="B29:N29"/>
    <mergeCell ref="B62:D62"/>
    <mergeCell ref="G24:H24"/>
    <mergeCell ref="I24:J24"/>
    <mergeCell ref="B123:D124"/>
    <mergeCell ref="B18:C18"/>
    <mergeCell ref="D18:F18"/>
    <mergeCell ref="B21:J21"/>
    <mergeCell ref="E10:F10"/>
    <mergeCell ref="B174:D175"/>
    <mergeCell ref="E172:E173"/>
    <mergeCell ref="B172:D173"/>
    <mergeCell ref="B127:D128"/>
    <mergeCell ref="B129:D130"/>
    <mergeCell ref="B133:D134"/>
    <mergeCell ref="E127:E128"/>
    <mergeCell ref="E129:E130"/>
    <mergeCell ref="B135:D136"/>
    <mergeCell ref="B170:D171"/>
    <mergeCell ref="E135:E136"/>
    <mergeCell ref="B131:D132"/>
    <mergeCell ref="F174:F175"/>
    <mergeCell ref="E174:E175"/>
    <mergeCell ref="F133:F134"/>
    <mergeCell ref="E133:E134"/>
    <mergeCell ref="F131:F132"/>
    <mergeCell ref="E131:E132"/>
    <mergeCell ref="F172:F173"/>
    <mergeCell ref="F170:F171"/>
    <mergeCell ref="F135:F136"/>
    <mergeCell ref="E170:E171"/>
    <mergeCell ref="B137:D138"/>
    <mergeCell ref="E137:E138"/>
    <mergeCell ref="F137:F138"/>
    <mergeCell ref="B139:D140"/>
    <mergeCell ref="E139:E140"/>
    <mergeCell ref="F139:F140"/>
    <mergeCell ref="B125:D126"/>
    <mergeCell ref="O31:O34"/>
    <mergeCell ref="E119:E120"/>
    <mergeCell ref="F119:F120"/>
    <mergeCell ref="F121:F122"/>
    <mergeCell ref="E121:E122"/>
    <mergeCell ref="F129:F130"/>
    <mergeCell ref="B119:D120"/>
    <mergeCell ref="F123:F124"/>
    <mergeCell ref="B121:D122"/>
    <mergeCell ref="B75:C75"/>
    <mergeCell ref="E125:E126"/>
    <mergeCell ref="F125:F126"/>
    <mergeCell ref="E123:E124"/>
    <mergeCell ref="B73:C73"/>
    <mergeCell ref="F127:F128"/>
    <mergeCell ref="B110:B113"/>
  </mergeCells>
  <phoneticPr fontId="23" type="noConversion"/>
  <conditionalFormatting sqref="B34 B32 E32:H32 D33:N33">
    <cfRule type="expression" dxfId="57" priority="6" stopIfTrue="1">
      <formula>+AND(B31&gt;=#REF!,B31&lt;=#REF!)</formula>
    </cfRule>
  </conditionalFormatting>
  <conditionalFormatting sqref="D34:N34">
    <cfRule type="expression" dxfId="56" priority="7" stopIfTrue="1">
      <formula>+AND(D32&gt;=#REF!,D32&lt;=#REF!)</formula>
    </cfRule>
  </conditionalFormatting>
  <conditionalFormatting sqref="C30:N30 C96:N96">
    <cfRule type="cellIs" dxfId="55" priority="10" stopIfTrue="1" operator="equal">
      <formula>$C$16</formula>
    </cfRule>
  </conditionalFormatting>
  <conditionalFormatting sqref="C12:D12">
    <cfRule type="cellIs" dxfId="54" priority="12" stopIfTrue="1" operator="equal">
      <formula>"C"</formula>
    </cfRule>
    <cfRule type="cellIs" dxfId="53" priority="13" stopIfTrue="1" operator="equal">
      <formula>"B2"</formula>
    </cfRule>
    <cfRule type="cellIs" dxfId="52" priority="14" stopIfTrue="1" operator="equal">
      <formula>"B1"</formula>
    </cfRule>
  </conditionalFormatting>
  <conditionalFormatting sqref="H169:S169 H118:S118">
    <cfRule type="cellIs" dxfId="51" priority="21" stopIfTrue="1" operator="equal">
      <formula>$C$16</formula>
    </cfRule>
  </conditionalFormatting>
  <conditionalFormatting sqref="C34">
    <cfRule type="expression" dxfId="50" priority="1" stopIfTrue="1">
      <formula>+AND(C32&gt;=#REF!,C32&lt;=#REF!)</formula>
    </cfRule>
  </conditionalFormatting>
  <dataValidations count="9">
    <dataValidation type="list" allowBlank="1" showInputMessage="1" showErrorMessage="1" sqref="B110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10:C113" xr:uid="{00000000-0002-0000-0200-000008000000}">
      <formula1>Medicaments</formula1>
    </dataValidation>
  </dataValidations>
  <pageMargins left="0.70866141732283472" right="0.70866141732283472" top="0.74803149606299213" bottom="0.74803149606299213" header="0.31496062992125984" footer="0.31496062992125984"/>
  <pageSetup paperSize="9" scale="18" orientation="landscape" r:id="rId1"/>
  <headerFooter>
    <oddFooter>&amp;L&amp;F&amp;C&amp;A&amp;RV1.0          &amp;D</oddFooter>
  </headerFooter>
  <rowBreaks count="2" manualBreakCount="2">
    <brk id="50" max="16383" man="1"/>
    <brk id="106" max="14" man="1"/>
  </rowBreaks>
  <ignoredErrors>
    <ignoredError sqref="H169:S169 E170"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pageSetUpPr fitToPage="1"/>
  </sheetPr>
  <dimension ref="A1:X18"/>
  <sheetViews>
    <sheetView showGridLines="0" zoomScale="110" zoomScaleNormal="110" zoomScaleSheetLayoutView="100" workbookViewId="0">
      <selection activeCell="K10" sqref="K10"/>
    </sheetView>
  </sheetViews>
  <sheetFormatPr defaultColWidth="11.42578125" defaultRowHeight="15"/>
  <cols>
    <col min="1" max="1" width="22.5703125" style="3" customWidth="1"/>
    <col min="2" max="2" width="12.5703125" style="3" customWidth="1"/>
    <col min="3" max="3" width="20.5703125" style="3" customWidth="1"/>
    <col min="4" max="4" width="21.57031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149"/>
      <c r="H1" s="2"/>
      <c r="I1" s="2"/>
      <c r="J1" s="2"/>
    </row>
    <row r="2" spans="1:24" ht="25.5" customHeight="1"/>
    <row r="3" spans="1:24" ht="36">
      <c r="B3" s="722" t="str">
        <f>+"Tabel Programatic de Evaluare: "&amp;" "&amp;+IF('Introducerea datelor'!C4="Please Select","",'Introducerea datelor'!C4&amp;" - ")&amp;+IF('Introducerea datelor'!G6="Please Select","",'Introducerea datelor'!G6)</f>
        <v>Tabel Programatic de Evaluare:  Moldova - HIVAIDS / TB</v>
      </c>
      <c r="C3" s="722"/>
      <c r="D3" s="722"/>
      <c r="E3" s="722"/>
      <c r="F3" s="722"/>
      <c r="G3" s="722"/>
      <c r="H3" s="722"/>
      <c r="I3" s="722"/>
      <c r="J3" s="722"/>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424" t="s">
        <v>278</v>
      </c>
      <c r="B6" s="723" t="str">
        <f>+IF('Introducerea datelor'!C4="Please Select","",'Introducerea datelor'!C4)</f>
        <v>Moldova</v>
      </c>
      <c r="C6" s="723"/>
      <c r="D6" s="726" t="s">
        <v>282</v>
      </c>
      <c r="E6" s="726"/>
      <c r="F6" s="727" t="str">
        <f>+'Introducerea datelor'!G4</f>
        <v>Consolidarea controlului tuberculozei și reducerea SIDA și a mortalității aferente în Republica Moldova</v>
      </c>
      <c r="G6" s="727"/>
      <c r="H6" s="727"/>
      <c r="I6" s="727"/>
      <c r="J6" s="727"/>
      <c r="K6" s="32"/>
      <c r="L6" s="53"/>
      <c r="M6" s="32"/>
      <c r="N6" s="32"/>
      <c r="O6" s="32"/>
      <c r="P6" s="33"/>
      <c r="Q6" s="17"/>
      <c r="R6" s="17"/>
      <c r="S6" s="17"/>
      <c r="T6" s="17"/>
      <c r="U6" s="17"/>
    </row>
    <row r="7" spans="1:24" ht="8.25" customHeight="1">
      <c r="B7" s="6"/>
      <c r="C7" s="7"/>
      <c r="D7" s="7"/>
      <c r="E7" s="8"/>
      <c r="F7" s="8"/>
      <c r="G7" s="9"/>
      <c r="H7" s="9"/>
      <c r="K7" s="32"/>
      <c r="L7" s="32"/>
      <c r="M7" s="32"/>
      <c r="N7" s="32"/>
      <c r="O7" s="32"/>
      <c r="P7" s="33"/>
      <c r="Q7" s="17"/>
      <c r="R7" s="17"/>
      <c r="S7" s="17"/>
      <c r="T7" s="17"/>
      <c r="U7" s="17"/>
    </row>
    <row r="8" spans="1:24" ht="3.75" customHeight="1">
      <c r="C8" s="10"/>
      <c r="D8" s="10"/>
      <c r="E8" s="10"/>
      <c r="F8" s="10"/>
      <c r="G8" s="10"/>
      <c r="H8" s="10"/>
      <c r="I8" s="10"/>
      <c r="J8" s="10"/>
      <c r="K8" s="32"/>
      <c r="L8" s="32"/>
      <c r="M8" s="32"/>
      <c r="N8" s="32"/>
      <c r="O8" s="34"/>
      <c r="P8" s="33"/>
      <c r="Q8" s="34"/>
      <c r="R8" s="35"/>
      <c r="S8" s="17"/>
      <c r="T8" s="17"/>
      <c r="U8" s="17"/>
    </row>
    <row r="9" spans="1:24" ht="25.5" customHeight="1">
      <c r="A9" s="423" t="s">
        <v>283</v>
      </c>
      <c r="B9" s="190" t="str">
        <f>+IF('Introducerea datelor'!G6="Please Select","",'Introducerea datelor'!G6)</f>
        <v>HIVAIDS / TB</v>
      </c>
      <c r="C9" s="131" t="s">
        <v>246</v>
      </c>
      <c r="D9" s="191" t="str">
        <f>+'Introducerea datelor'!C6</f>
        <v>MDA-C-PCIMU</v>
      </c>
      <c r="E9" s="725" t="s">
        <v>366</v>
      </c>
      <c r="F9" s="725"/>
      <c r="G9" s="244">
        <f>+IF(ISBLANK('Introducerea datelor'!C10),"",'Introducerea datelor'!C10)</f>
        <v>43101</v>
      </c>
      <c r="H9" s="423" t="s">
        <v>284</v>
      </c>
      <c r="I9" s="724">
        <f>+IF(ISBLANK('Introducerea datelor'!I6),"",'Introducerea datelor'!I6)</f>
        <v>11931624</v>
      </c>
      <c r="J9" s="724"/>
      <c r="K9" s="32"/>
      <c r="L9" s="32"/>
      <c r="M9" s="32"/>
      <c r="N9" s="32"/>
      <c r="O9" s="34"/>
      <c r="P9" s="33"/>
      <c r="Q9" s="34"/>
      <c r="R9" s="35"/>
      <c r="S9" s="17"/>
      <c r="T9" s="11"/>
      <c r="U9" s="11"/>
      <c r="V9" s="10"/>
      <c r="W9" s="10"/>
      <c r="X9" s="10"/>
    </row>
    <row r="10" spans="1:24" ht="25.5" customHeight="1">
      <c r="A10" s="423" t="s">
        <v>285</v>
      </c>
      <c r="B10" s="192" t="str">
        <f>+IF('Introducerea datelor'!G8="Please Select","",'Introducerea datelor'!G8)</f>
        <v/>
      </c>
      <c r="C10" s="131" t="s">
        <v>286</v>
      </c>
      <c r="D10" s="193" t="str">
        <f>+IF('Introducerea datelor'!I8="Please Select","",'Introducerea datelor'!I8)</f>
        <v/>
      </c>
      <c r="E10" s="717" t="s">
        <v>367</v>
      </c>
      <c r="F10" s="717"/>
      <c r="G10" s="716" t="str">
        <f>+'Introducerea datelor'!C8</f>
        <v>IP UCIMP DS</v>
      </c>
      <c r="H10" s="716"/>
      <c r="I10" s="716"/>
      <c r="J10" s="716"/>
      <c r="K10" s="36"/>
      <c r="L10" s="36"/>
      <c r="M10" s="32"/>
      <c r="N10" s="36"/>
      <c r="O10" s="34"/>
      <c r="P10" s="33"/>
      <c r="Q10" s="11"/>
      <c r="R10" s="35"/>
      <c r="S10" s="17"/>
      <c r="T10" s="11"/>
      <c r="U10" s="11"/>
    </row>
    <row r="11" spans="1:24" ht="25.5" customHeight="1">
      <c r="A11" s="423" t="s">
        <v>289</v>
      </c>
      <c r="B11" s="422" t="str">
        <f>+'Introducerea datelor'!C16</f>
        <v>P3</v>
      </c>
      <c r="C11" s="181" t="s">
        <v>290</v>
      </c>
      <c r="D11" s="425">
        <f>+IF(ISBLANK('Introducerea datelor'!E16),"",'Introducerea datelor'!E16)</f>
        <v>43466</v>
      </c>
      <c r="E11" s="725" t="s">
        <v>291</v>
      </c>
      <c r="F11" s="725"/>
      <c r="G11" s="425">
        <f>+IF(ISBLANK('Introducerea datelor'!G16),"",'Introducerea datelor'!G16)</f>
        <v>43646</v>
      </c>
      <c r="H11" s="423" t="s">
        <v>281</v>
      </c>
      <c r="I11" s="718" t="str">
        <f>+IF('Introducerea datelor'!C12="Please Select","",'Introducerea datelor'!C12)</f>
        <v/>
      </c>
      <c r="J11" s="718"/>
      <c r="K11" s="148"/>
      <c r="L11" s="36"/>
      <c r="M11" s="32"/>
      <c r="N11" s="36"/>
      <c r="O11" s="36"/>
      <c r="P11" s="33"/>
      <c r="Q11" s="11"/>
      <c r="R11" s="35"/>
      <c r="S11" s="17"/>
      <c r="T11" s="12"/>
      <c r="U11" s="11"/>
    </row>
    <row r="12" spans="1:24" ht="25.5" customHeight="1">
      <c r="A12" s="423" t="s">
        <v>287</v>
      </c>
      <c r="B12" s="716" t="str">
        <f>+IF('Introducerea datelor'!G10="Please Select","",'Introducerea datelor'!G10)</f>
        <v>PwC (PricewaterhouseCoopers)</v>
      </c>
      <c r="C12" s="716"/>
      <c r="D12" s="716"/>
      <c r="E12" s="717" t="s">
        <v>231</v>
      </c>
      <c r="F12" s="717"/>
      <c r="G12" s="716" t="str">
        <f>+'Introducerea datelor'!G12</f>
        <v>Tsovinar Sakanyan</v>
      </c>
      <c r="H12" s="716"/>
      <c r="I12" s="716"/>
      <c r="J12" s="716"/>
      <c r="K12" s="36"/>
      <c r="L12" s="36"/>
      <c r="M12" s="32"/>
      <c r="N12" s="36"/>
      <c r="O12" s="17"/>
      <c r="P12" s="33"/>
      <c r="Q12" s="11"/>
      <c r="R12" s="35"/>
      <c r="S12" s="17"/>
      <c r="T12" s="11"/>
      <c r="U12" s="37"/>
      <c r="V12" s="11"/>
      <c r="W12" s="12"/>
      <c r="X12" s="11"/>
    </row>
    <row r="13" spans="1:24" ht="30.75" customHeight="1">
      <c r="A13" s="423" t="s">
        <v>368</v>
      </c>
      <c r="B13" s="716" t="str">
        <f>+'Introducerea datelor'!D18</f>
        <v>IP UCIMP DS</v>
      </c>
      <c r="C13" s="716"/>
      <c r="D13" s="716"/>
      <c r="E13" s="719" t="s">
        <v>369</v>
      </c>
      <c r="F13" s="719"/>
      <c r="G13" s="720">
        <f>+IF(ISBLANK('Introducerea datelor'!J16),"",'Introducerea datelor'!J16)</f>
        <v>43735</v>
      </c>
      <c r="H13" s="721"/>
      <c r="I13" s="721"/>
      <c r="J13" s="721"/>
      <c r="K13" s="17"/>
      <c r="L13" s="18"/>
      <c r="M13" s="18"/>
      <c r="N13" s="18"/>
      <c r="O13" s="17"/>
      <c r="P13" s="18"/>
      <c r="Q13" s="18"/>
      <c r="R13" s="35"/>
      <c r="S13" s="17"/>
      <c r="T13" s="18"/>
      <c r="U13" s="38"/>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34"/>
      <c r="D16" s="16"/>
      <c r="E16" s="200"/>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sheet="1" objects="1" scenarios="1"/>
  <dataConsolidate link="1"/>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23" type="noConversion"/>
  <conditionalFormatting sqref="I11:J11">
    <cfRule type="cellIs" dxfId="49" priority="1" stopIfTrue="1" operator="equal">
      <formula>"C"</formula>
    </cfRule>
    <cfRule type="cellIs" dxfId="48" priority="2" stopIfTrue="1" operator="equal">
      <formula>"B2"</formula>
    </cfRule>
    <cfRule type="cellIs" dxfId="4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1"/>
    <pageSetUpPr fitToPage="1"/>
  </sheetPr>
  <dimension ref="A1:P35"/>
  <sheetViews>
    <sheetView showGridLines="0" topLeftCell="A28" zoomScale="130" zoomScaleNormal="130" zoomScaleSheetLayoutView="100" workbookViewId="0">
      <selection activeCell="O33" sqref="O33"/>
    </sheetView>
  </sheetViews>
  <sheetFormatPr defaultColWidth="11" defaultRowHeight="15"/>
  <cols>
    <col min="1" max="1" width="3.28515625" style="3" customWidth="1"/>
    <col min="2" max="2" width="10.42578125" style="3" customWidth="1"/>
    <col min="3" max="3" width="12.42578125" style="3" customWidth="1"/>
    <col min="4" max="4" width="13.140625" style="3" customWidth="1"/>
    <col min="5" max="5" width="11.42578125" style="3" customWidth="1"/>
    <col min="6" max="6" width="17" style="3" customWidth="1"/>
    <col min="7" max="7" width="3.85546875" style="3" customWidth="1"/>
    <col min="8" max="8" width="9.85546875" style="3" customWidth="1"/>
    <col min="9" max="9" width="13" style="3" customWidth="1"/>
    <col min="10" max="10" width="13.7109375" style="3" customWidth="1"/>
    <col min="11" max="11" width="13.5703125" style="3" customWidth="1"/>
    <col min="12" max="12" width="14.140625" style="3" customWidth="1"/>
    <col min="13" max="16384" width="11" style="3"/>
  </cols>
  <sheetData>
    <row r="1" spans="1:16" ht="28.5" customHeight="1">
      <c r="C1" s="561"/>
      <c r="E1" s="562"/>
    </row>
    <row r="2" spans="1:16" ht="27.75" customHeight="1">
      <c r="B2" s="728" t="str">
        <f>+"Tabel Programatic de Evaluare:  "&amp;"  "&amp;IF(+'Introducerea datelor'!C4="Please Select","",'Introducerea datelor'!C4&amp;" - ")&amp;IF('Introducerea datelor'!G6="Please Select","",'Introducerea datelor'!G6)</f>
        <v>Tabel Programatic de Evaluare:    Moldova - HIVAIDS / TB</v>
      </c>
      <c r="C2" s="728"/>
      <c r="D2" s="728"/>
      <c r="E2" s="728"/>
      <c r="F2" s="728"/>
      <c r="G2" s="728"/>
      <c r="H2" s="728"/>
      <c r="I2" s="728"/>
      <c r="J2" s="728"/>
      <c r="K2" s="728"/>
      <c r="L2" s="728"/>
      <c r="M2" s="563"/>
      <c r="N2" s="563"/>
      <c r="O2" s="563"/>
      <c r="P2" s="563"/>
    </row>
    <row r="3" spans="1:16">
      <c r="B3" s="426" t="str">
        <f>+IF('Introducerea datelor'!G8="Please Select","",'Introducerea datelor'!G8)</f>
        <v/>
      </c>
      <c r="C3" s="733" t="str">
        <f>+IF('Introducerea datelor'!I8="Please Select","",'Introducerea datelor'!I8)</f>
        <v/>
      </c>
      <c r="D3" s="733"/>
      <c r="E3" s="731"/>
      <c r="F3" s="731"/>
      <c r="G3" s="731"/>
      <c r="H3" s="731"/>
      <c r="I3" s="731"/>
      <c r="J3" s="732" t="str">
        <f>+'Introducerea datelor'!B16</f>
        <v>Perioada de Raportare:</v>
      </c>
      <c r="K3" s="732"/>
      <c r="L3" s="120" t="str">
        <f>+'Introducerea datelor'!C16</f>
        <v>P3</v>
      </c>
    </row>
    <row r="4" spans="1:16">
      <c r="B4" s="426" t="str">
        <f>+'Introducerea datelor'!B12</f>
        <v>Ultimul Rating:</v>
      </c>
      <c r="C4" s="729" t="str">
        <f>+IF('Introducerea datelor'!C12="Please Select","",'Introducerea datelor'!C12)</f>
        <v/>
      </c>
      <c r="D4" s="729"/>
      <c r="E4" s="731" t="str">
        <f>+'Introducerea datelor'!C8</f>
        <v>IP UCIMP DS</v>
      </c>
      <c r="F4" s="731"/>
      <c r="G4" s="731"/>
      <c r="H4" s="731"/>
      <c r="I4" s="731"/>
      <c r="J4" s="732" t="str">
        <f>+'Introducerea datelor'!D16</f>
        <v>De la:</v>
      </c>
      <c r="K4" s="734"/>
      <c r="L4" s="263">
        <f>+IF(ISBLANK('Introducerea datelor'!E16),"",'Introducerea datelor'!E16)</f>
        <v>43466</v>
      </c>
    </row>
    <row r="5" spans="1:16" ht="27.75" customHeight="1">
      <c r="B5" s="426"/>
      <c r="C5" s="426"/>
      <c r="D5" s="740" t="str">
        <f>+'Introducerea datelor'!G4</f>
        <v>Consolidarea controlului tuberculozei și reducerea SIDA și a mortalității aferente în Republica Moldova</v>
      </c>
      <c r="E5" s="740"/>
      <c r="F5" s="740"/>
      <c r="G5" s="740"/>
      <c r="H5" s="740"/>
      <c r="I5" s="740"/>
      <c r="J5" s="740"/>
      <c r="K5" s="426" t="str">
        <f>+'Introducerea datelor'!F16</f>
        <v>Pînă la:</v>
      </c>
      <c r="L5" s="263">
        <f>+IF(ISBLANK('Introducerea datelor'!G16),"",'Introducerea datelor'!G16)</f>
        <v>43646</v>
      </c>
    </row>
    <row r="6" spans="1:16" ht="18.75">
      <c r="B6" s="99"/>
      <c r="C6" s="426"/>
      <c r="D6" s="97"/>
      <c r="E6" s="730" t="s">
        <v>374</v>
      </c>
      <c r="F6" s="730"/>
      <c r="G6" s="730"/>
      <c r="H6" s="730"/>
      <c r="I6" s="730"/>
    </row>
    <row r="7" spans="1:16" ht="26.25" customHeight="1">
      <c r="B7" s="735" t="str">
        <f>+'Introducerea datelor'!B71&amp;"                "&amp;+J3&amp;" "&amp;+L3</f>
        <v>M1: Statutul Condițiilor Precedente și a Acțiunilor Prestabilite în Timp                 Perioada de Raportare: P3</v>
      </c>
      <c r="C7" s="736"/>
      <c r="D7" s="736"/>
      <c r="E7" s="736"/>
      <c r="F7" s="736"/>
      <c r="H7" s="735" t="str">
        <f>+'Introducerea datelor'!B78&amp;"                                                                             "&amp;+J3&amp;"  "&amp;+L3</f>
        <v>M2: Statutul pozițiilor cheie a RP                                                                              Perioada de Raportare:  P3</v>
      </c>
      <c r="I7" s="736"/>
      <c r="J7" s="736"/>
      <c r="K7" s="736"/>
      <c r="L7" s="736"/>
    </row>
    <row r="8" spans="1:16" ht="96.75" customHeight="1">
      <c r="B8" s="564" t="s">
        <v>373</v>
      </c>
      <c r="C8" s="737" t="s">
        <v>528</v>
      </c>
      <c r="D8" s="742"/>
      <c r="E8" s="742"/>
      <c r="F8" s="743"/>
      <c r="G8" s="565"/>
      <c r="H8" s="564" t="s">
        <v>373</v>
      </c>
      <c r="I8" s="737" t="s">
        <v>508</v>
      </c>
      <c r="J8" s="738"/>
      <c r="K8" s="738"/>
      <c r="L8" s="739"/>
    </row>
    <row r="9" spans="1:16" ht="22.5" customHeight="1">
      <c r="B9" s="2"/>
      <c r="C9" s="2"/>
      <c r="D9" s="2"/>
      <c r="E9" s="2"/>
      <c r="F9" s="2"/>
      <c r="G9" s="2"/>
      <c r="H9" s="2"/>
    </row>
    <row r="10" spans="1:16" ht="21" customHeight="1">
      <c r="A10" s="566"/>
      <c r="B10" s="2"/>
      <c r="C10" s="2"/>
      <c r="D10" s="744"/>
      <c r="E10" s="741"/>
      <c r="F10" s="741"/>
      <c r="G10" s="567"/>
      <c r="H10" s="2"/>
      <c r="N10" s="568"/>
      <c r="O10" s="568"/>
      <c r="P10" s="416"/>
    </row>
    <row r="11" spans="1:16">
      <c r="B11" s="2"/>
      <c r="C11" s="79"/>
      <c r="D11" s="744"/>
      <c r="E11" s="79"/>
      <c r="F11" s="79"/>
      <c r="G11" s="79"/>
      <c r="H11" s="79"/>
      <c r="N11" s="2"/>
      <c r="O11" s="2"/>
    </row>
    <row r="12" spans="1:16">
      <c r="B12" s="79"/>
      <c r="C12" s="569"/>
      <c r="D12" s="570"/>
      <c r="E12" s="570"/>
      <c r="F12" s="570"/>
      <c r="G12" s="570"/>
      <c r="H12" s="571"/>
      <c r="N12" s="572"/>
    </row>
    <row r="13" spans="1:16">
      <c r="B13" s="79"/>
      <c r="C13" s="569"/>
      <c r="D13" s="570"/>
      <c r="E13" s="570"/>
      <c r="F13" s="570"/>
      <c r="G13" s="570"/>
      <c r="H13" s="571"/>
    </row>
    <row r="14" spans="1:16" ht="27" customHeight="1"/>
    <row r="15" spans="1:16" ht="35.25" customHeight="1">
      <c r="B15" s="735" t="str">
        <f>+'Introducerea datelor'!B83&amp;"                                                                                                 "&amp;+J3&amp;" "&amp;+L3</f>
        <v>M3: Aranjamente contractuale (SR)                                                                                                  Perioada de Raportare: P3</v>
      </c>
      <c r="C15" s="736"/>
      <c r="D15" s="736"/>
      <c r="E15" s="736"/>
      <c r="F15" s="736"/>
      <c r="G15" s="736"/>
      <c r="H15" s="735" t="str">
        <f>+'Introducerea datelor'!B88&amp;"                        "&amp;+J3&amp;" "&amp;+L3</f>
        <v>M4: Numărul rapoartelor complete recepționate la timp                        Perioada de Raportare: P3</v>
      </c>
      <c r="I15" s="736"/>
      <c r="J15" s="736"/>
      <c r="K15" s="736"/>
      <c r="L15" s="736"/>
    </row>
    <row r="16" spans="1:16" ht="79.5" customHeight="1">
      <c r="B16" s="564" t="s">
        <v>373</v>
      </c>
      <c r="C16" s="737" t="s">
        <v>530</v>
      </c>
      <c r="D16" s="738"/>
      <c r="E16" s="738"/>
      <c r="F16" s="739"/>
      <c r="G16" s="565"/>
      <c r="H16" s="564" t="s">
        <v>373</v>
      </c>
      <c r="I16" s="737" t="s">
        <v>531</v>
      </c>
      <c r="J16" s="742"/>
      <c r="K16" s="742"/>
      <c r="L16" s="743"/>
    </row>
    <row r="17" spans="2:13">
      <c r="B17" s="573"/>
      <c r="H17" s="574"/>
    </row>
    <row r="18" spans="2:13">
      <c r="M18" s="575"/>
    </row>
    <row r="26" spans="2:13" ht="40.5" customHeight="1">
      <c r="B26" s="745" t="str">
        <f>+'Introducerea datelor'!B94</f>
        <v xml:space="preserve">M5: Bugetul și Procurarea produselor medicale, echipamentului medical, medicamentelor și produselor farmaceutice </v>
      </c>
      <c r="C26" s="746"/>
      <c r="D26" s="746"/>
      <c r="E26" s="746"/>
      <c r="F26" s="746"/>
      <c r="H26" s="735" t="str">
        <f>+'Introducerea datelor'!B107&amp;"                                                                "&amp;+J3&amp;"  "&amp;+L3</f>
        <v>M6: Diferență între stocul curent și stocul de siguranță                                                                Perioada de Raportare:  P3</v>
      </c>
      <c r="I26" s="736"/>
      <c r="J26" s="736"/>
      <c r="K26" s="736"/>
      <c r="L26" s="736"/>
    </row>
    <row r="27" spans="2:13" ht="54.75" customHeight="1">
      <c r="B27" s="564" t="s">
        <v>373</v>
      </c>
      <c r="C27" s="737" t="s">
        <v>532</v>
      </c>
      <c r="D27" s="738"/>
      <c r="E27" s="738"/>
      <c r="F27" s="739"/>
      <c r="G27" s="565"/>
      <c r="H27" s="564" t="s">
        <v>1</v>
      </c>
      <c r="I27" s="737" t="s">
        <v>534</v>
      </c>
      <c r="J27" s="742"/>
      <c r="K27" s="742"/>
      <c r="L27" s="743"/>
    </row>
    <row r="28" spans="2:13" ht="15.75" thickBot="1"/>
    <row r="29" spans="2:13" ht="59.25" customHeight="1">
      <c r="F29" s="183"/>
      <c r="G29" s="183"/>
      <c r="H29" s="237" t="s">
        <v>350</v>
      </c>
      <c r="I29" s="236" t="s">
        <v>375</v>
      </c>
      <c r="J29" s="195" t="s">
        <v>377</v>
      </c>
      <c r="K29" s="128" t="s">
        <v>378</v>
      </c>
      <c r="L29" s="182" t="s">
        <v>379</v>
      </c>
    </row>
    <row r="30" spans="2:13" ht="15" customHeight="1">
      <c r="F30" s="183"/>
      <c r="G30" s="183"/>
      <c r="H30" s="748" t="str">
        <f>+'Introducerea datelor'!B110</f>
        <v>Please Select</v>
      </c>
      <c r="I30" s="431" t="str">
        <f>+'Introducerea datelor'!C110</f>
        <v>Please Select</v>
      </c>
      <c r="J30" s="432" t="str">
        <f>+'Introducerea datelor'!I110</f>
        <v/>
      </c>
      <c r="K30" s="433">
        <f>+'Introducerea datelor'!J110</f>
        <v>0</v>
      </c>
      <c r="L30" s="434" t="str">
        <f>+'Introducerea datelor'!K110</f>
        <v/>
      </c>
    </row>
    <row r="31" spans="2:13">
      <c r="F31" s="183"/>
      <c r="G31" s="183"/>
      <c r="H31" s="749"/>
      <c r="I31" s="431" t="str">
        <f>+'Introducerea datelor'!C111</f>
        <v>Please Select</v>
      </c>
      <c r="J31" s="432" t="str">
        <f>+'Introducerea datelor'!I111</f>
        <v/>
      </c>
      <c r="K31" s="433">
        <f>+'Introducerea datelor'!J111</f>
        <v>0</v>
      </c>
      <c r="L31" s="435" t="str">
        <f>+'Introducerea datelor'!K111</f>
        <v/>
      </c>
    </row>
    <row r="32" spans="2:13">
      <c r="F32" s="183"/>
      <c r="G32" s="183"/>
      <c r="H32" s="749"/>
      <c r="I32" s="431" t="str">
        <f>+'Introducerea datelor'!C112</f>
        <v>Please Select</v>
      </c>
      <c r="J32" s="432" t="str">
        <f>+'Introducerea datelor'!I112</f>
        <v/>
      </c>
      <c r="K32" s="433">
        <f>+'Introducerea datelor'!J112</f>
        <v>0</v>
      </c>
      <c r="L32" s="434" t="str">
        <f>+'Introducerea datelor'!K112</f>
        <v/>
      </c>
    </row>
    <row r="33" spans="2:12" ht="30" customHeight="1" thickBot="1">
      <c r="F33" s="183"/>
      <c r="G33" s="183"/>
      <c r="H33" s="750"/>
      <c r="I33" s="436" t="str">
        <f>+'Introducerea datelor'!C113</f>
        <v>Please Select</v>
      </c>
      <c r="J33" s="437" t="str">
        <f>+'Introducerea datelor'!I113</f>
        <v/>
      </c>
      <c r="K33" s="438">
        <f>+'Introducerea datelor'!J113</f>
        <v>0</v>
      </c>
      <c r="L33" s="434" t="str">
        <f>+'Introducerea datelor'!K113</f>
        <v/>
      </c>
    </row>
    <row r="34" spans="2:12" ht="22.5" customHeight="1">
      <c r="B34" s="747" t="str">
        <f>+'Introducerea datelor'!B104</f>
        <v>* Include numai AFR categoriile 4,5 și 6  (Produse medicale și Echipamente medicale &amp; Medicamente și Produse farmaceutice)</v>
      </c>
      <c r="C34" s="747"/>
      <c r="D34" s="747"/>
      <c r="E34" s="747"/>
      <c r="F34" s="2"/>
      <c r="G34" s="2"/>
      <c r="H34" s="576"/>
      <c r="I34" s="577"/>
      <c r="J34" s="578"/>
      <c r="K34" s="567"/>
      <c r="L34" s="15"/>
    </row>
    <row r="35" spans="2:12">
      <c r="F35" s="2"/>
      <c r="G35" s="2"/>
      <c r="H35" s="2"/>
      <c r="I35" s="2"/>
      <c r="J35" s="2"/>
      <c r="K35" s="2"/>
      <c r="L35" s="2"/>
    </row>
  </sheetData>
  <sheetProtection sheet="1" objects="1" scenarios="1"/>
  <mergeCells count="25">
    <mergeCell ref="B26:F26"/>
    <mergeCell ref="H26:L26"/>
    <mergeCell ref="B34:E34"/>
    <mergeCell ref="C27:F27"/>
    <mergeCell ref="I27:L27"/>
    <mergeCell ref="H30:H33"/>
    <mergeCell ref="B15:G15"/>
    <mergeCell ref="H15:L15"/>
    <mergeCell ref="I8:L8"/>
    <mergeCell ref="D5:J5"/>
    <mergeCell ref="C16:F16"/>
    <mergeCell ref="E10:F10"/>
    <mergeCell ref="C8:F8"/>
    <mergeCell ref="B7:F7"/>
    <mergeCell ref="I16:L16"/>
    <mergeCell ref="D10:D11"/>
    <mergeCell ref="H7:L7"/>
    <mergeCell ref="B2:L2"/>
    <mergeCell ref="C4:D4"/>
    <mergeCell ref="E6:I6"/>
    <mergeCell ref="E3:I3"/>
    <mergeCell ref="J3:K3"/>
    <mergeCell ref="C3:D3"/>
    <mergeCell ref="E4:I4"/>
    <mergeCell ref="J4:K4"/>
  </mergeCells>
  <phoneticPr fontId="23" type="noConversion"/>
  <conditionalFormatting sqref="D12:D13">
    <cfRule type="cellIs" dxfId="46" priority="1" stopIfTrue="1" operator="greaterThan">
      <formula>0</formula>
    </cfRule>
  </conditionalFormatting>
  <conditionalFormatting sqref="E12:E13">
    <cfRule type="cellIs" dxfId="45" priority="2" stopIfTrue="1" operator="greaterThan">
      <formula>0</formula>
    </cfRule>
  </conditionalFormatting>
  <conditionalFormatting sqref="F12:G13">
    <cfRule type="cellIs" dxfId="44" priority="3" stopIfTrue="1" operator="greaterThan">
      <formula>0</formula>
    </cfRule>
  </conditionalFormatting>
  <conditionalFormatting sqref="C4:D4">
    <cfRule type="cellIs" dxfId="43" priority="4" stopIfTrue="1" operator="equal">
      <formula>"C"</formula>
    </cfRule>
    <cfRule type="cellIs" dxfId="42" priority="5" stopIfTrue="1" operator="equal">
      <formula>"B2"</formula>
    </cfRule>
    <cfRule type="cellIs" dxfId="41" priority="6" stopIfTrue="1" operator="equal">
      <formula>"B1"</formula>
    </cfRule>
  </conditionalFormatting>
  <conditionalFormatting sqref="L30 L32:L33">
    <cfRule type="cellIs" dxfId="40" priority="13" stopIfTrue="1" operator="lessThan">
      <formula>1</formula>
    </cfRule>
    <cfRule type="cellIs" dxfId="39" priority="14" stopIfTrue="1" operator="between">
      <formula>3</formula>
      <formula>17</formula>
    </cfRule>
    <cfRule type="cellIs" dxfId="38" priority="15" stopIfTrue="1" operator="between">
      <formula>1</formula>
      <formula>3</formula>
    </cfRule>
  </conditionalFormatting>
  <conditionalFormatting sqref="L31">
    <cfRule type="cellIs" dxfId="37" priority="16" stopIfTrue="1" operator="lessThan">
      <formula>1</formula>
    </cfRule>
    <cfRule type="cellIs" dxfId="36" priority="17" stopIfTrue="1" operator="between">
      <formula>3</formula>
      <formula>100</formula>
    </cfRule>
    <cfRule type="cellIs" dxfId="35" priority="18" stopIfTrue="1" operator="between">
      <formula>1</formula>
      <formula>3</formula>
    </cfRule>
  </conditionalFormatting>
  <pageMargins left="0.70866141732283472" right="0.70866141732283472" top="0.74803149606299213" bottom="0.74803149606299213" header="0.31496062992125984" footer="0.31496062992125984"/>
  <pageSetup paperSize="256" scale="64"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34"/>
  <sheetViews>
    <sheetView showGridLines="0" view="pageBreakPreview" zoomScaleNormal="100" zoomScaleSheetLayoutView="100" workbookViewId="0">
      <selection activeCell="M17" sqref="M17"/>
    </sheetView>
  </sheetViews>
  <sheetFormatPr defaultColWidth="11" defaultRowHeight="15"/>
  <cols>
    <col min="1" max="6" width="19.42578125" style="3" customWidth="1"/>
    <col min="7" max="7" width="3.85546875" style="3" customWidth="1"/>
    <col min="8" max="11" width="24.28515625" style="3" customWidth="1"/>
    <col min="12" max="16384" width="11" style="3"/>
  </cols>
  <sheetData>
    <row r="1" spans="2:15" ht="30.75" customHeight="1"/>
    <row r="2" spans="2:15" ht="27.75" customHeight="1">
      <c r="B2" s="751" t="str">
        <f>+"Tabel Programatic de Evaluare:  "&amp;"  "&amp;IF(+'Introducerea datelor'!C4="Please Select","",'Introducerea datelor'!C4&amp;" - ")&amp;IF('Introducerea datelor'!G6="Please Select","",'Introducerea datelor'!G6)</f>
        <v>Tabel Programatic de Evaluare:    Moldova - HIVAIDS / TB</v>
      </c>
      <c r="C2" s="751"/>
      <c r="D2" s="751"/>
      <c r="E2" s="751"/>
      <c r="F2" s="751"/>
      <c r="G2" s="751"/>
      <c r="H2" s="751"/>
      <c r="I2" s="751"/>
      <c r="J2" s="751"/>
      <c r="K2" s="751"/>
      <c r="L2" s="579"/>
      <c r="M2" s="579"/>
      <c r="N2" s="579"/>
      <c r="O2" s="579"/>
    </row>
    <row r="3" spans="2:15">
      <c r="B3" s="426" t="str">
        <f>+IF('Introducerea datelor'!G8="Please Select","",'Introducerea datelor'!G8)</f>
        <v/>
      </c>
      <c r="C3" s="733" t="str">
        <f>+IF('Introducerea datelor'!I8="Please Select","",'Introducerea datelor'!I8)</f>
        <v/>
      </c>
      <c r="D3" s="733"/>
      <c r="E3" s="731"/>
      <c r="F3" s="731"/>
      <c r="G3" s="731"/>
      <c r="H3" s="731"/>
      <c r="I3" s="732" t="str">
        <f>+'Introducerea datelor'!B16</f>
        <v>Perioada de Raportare:</v>
      </c>
      <c r="J3" s="732"/>
      <c r="K3" s="120" t="str">
        <f>+'Introducerea datelor'!C16</f>
        <v>P3</v>
      </c>
      <c r="L3" s="575"/>
    </row>
    <row r="4" spans="2:15">
      <c r="B4" s="426" t="str">
        <f>+'Introducerea datelor'!B12</f>
        <v>Ultimul Rating:</v>
      </c>
      <c r="C4" s="729" t="str">
        <f>+IF('Introducerea datelor'!C12="Please Select","",'Introducerea datelor'!C12)</f>
        <v/>
      </c>
      <c r="D4" s="729"/>
      <c r="E4" s="731" t="str">
        <f>+'Introducerea datelor'!C8</f>
        <v>IP UCIMP DS</v>
      </c>
      <c r="F4" s="731"/>
      <c r="G4" s="731"/>
      <c r="H4" s="731"/>
      <c r="I4" s="732" t="str">
        <f>+'Introducerea datelor'!D16</f>
        <v>De la:</v>
      </c>
      <c r="J4" s="734"/>
      <c r="K4" s="263">
        <f>+IF(ISBLANK('Introducerea datelor'!E16),"",'Introducerea datelor'!E16)</f>
        <v>43466</v>
      </c>
    </row>
    <row r="5" spans="2:15" ht="18.75" customHeight="1">
      <c r="B5" s="426"/>
      <c r="C5" s="426"/>
      <c r="D5" s="740" t="str">
        <f>+'Introducerea datelor'!G4</f>
        <v>Consolidarea controlului tuberculozei și reducerea SIDA și a mortalității aferente în Republica Moldova</v>
      </c>
      <c r="E5" s="740"/>
      <c r="F5" s="740"/>
      <c r="G5" s="740"/>
      <c r="H5" s="740"/>
      <c r="I5" s="740"/>
      <c r="J5" s="426" t="str">
        <f>+'Introducerea datelor'!F16</f>
        <v>Pînă la:</v>
      </c>
      <c r="K5" s="263">
        <f>+IF(ISBLANK('Introducerea datelor'!G16),"",'Introducerea datelor'!G16)</f>
        <v>43646</v>
      </c>
    </row>
    <row r="6" spans="2:15" ht="18.75">
      <c r="B6" s="99"/>
      <c r="C6" s="426"/>
      <c r="D6" s="97"/>
      <c r="E6" s="730" t="s">
        <v>372</v>
      </c>
      <c r="F6" s="730"/>
      <c r="G6" s="730"/>
      <c r="H6" s="730"/>
      <c r="K6" s="198"/>
    </row>
    <row r="7" spans="2:15" ht="10.5" customHeight="1">
      <c r="B7" s="100"/>
      <c r="C7" s="101"/>
      <c r="D7" s="102"/>
      <c r="E7" s="103"/>
      <c r="F7" s="103"/>
      <c r="G7" s="104"/>
      <c r="H7" s="104"/>
      <c r="I7" s="427"/>
      <c r="J7" s="427"/>
      <c r="K7" s="98"/>
      <c r="O7" s="3" t="s">
        <v>371</v>
      </c>
    </row>
    <row r="8" spans="2:15" ht="26.25" customHeight="1">
      <c r="B8" s="760" t="str">
        <f>+'Introducerea datelor'!B27&amp; " - in ("&amp;'Introducerea datelor'!D26&amp;")  "&amp;+I3&amp;" "&amp;+K3</f>
        <v>F1: Bugetul și debursările de către Fondul Global - in (€)  Perioada de Raportare: P3</v>
      </c>
      <c r="C8" s="736"/>
      <c r="D8" s="736"/>
      <c r="E8" s="736"/>
      <c r="F8" s="736"/>
      <c r="H8" s="125" t="str">
        <f>+'Introducerea datelor'!B51&amp; " - in ("&amp;'Introducerea datelor'!D26&amp;")         "&amp;+I3&amp;" "&amp;+K3</f>
        <v>F3: Debursări și cheltuieli - in (€)         Perioada de Raportare: P3</v>
      </c>
    </row>
    <row r="9" spans="2:15" ht="28.5" customHeight="1">
      <c r="B9" s="564" t="s">
        <v>373</v>
      </c>
      <c r="C9" s="761"/>
      <c r="D9" s="767"/>
      <c r="E9" s="767"/>
      <c r="F9" s="768"/>
      <c r="G9" s="580"/>
      <c r="H9" s="581" t="s">
        <v>373</v>
      </c>
      <c r="I9" s="761"/>
      <c r="J9" s="767"/>
      <c r="K9" s="768"/>
    </row>
    <row r="10" spans="2:15">
      <c r="B10" s="2"/>
      <c r="C10" s="2"/>
      <c r="D10" s="2"/>
      <c r="E10" s="2"/>
      <c r="F10" s="2"/>
    </row>
    <row r="11" spans="2:15">
      <c r="B11" s="2"/>
      <c r="C11" s="2"/>
      <c r="D11" s="2"/>
      <c r="E11" s="2"/>
      <c r="F11" s="2"/>
    </row>
    <row r="12" spans="2:15">
      <c r="B12" s="2"/>
      <c r="C12" s="2"/>
      <c r="D12" s="2"/>
      <c r="E12" s="2"/>
      <c r="F12" s="2"/>
    </row>
    <row r="13" spans="2:15">
      <c r="B13" s="2"/>
      <c r="C13" s="2"/>
      <c r="D13" s="2"/>
      <c r="E13" s="2"/>
      <c r="F13" s="2"/>
    </row>
    <row r="14" spans="2:15">
      <c r="B14" s="2"/>
      <c r="C14" s="2"/>
      <c r="D14" s="2"/>
      <c r="E14" s="2"/>
      <c r="F14" s="2"/>
    </row>
    <row r="15" spans="2:15">
      <c r="B15" s="2"/>
      <c r="C15" s="2"/>
      <c r="D15" s="2"/>
      <c r="E15" s="2"/>
      <c r="F15" s="2"/>
    </row>
    <row r="16" spans="2:15">
      <c r="B16" s="2"/>
      <c r="C16" s="2"/>
      <c r="D16" s="2"/>
      <c r="E16" s="2"/>
      <c r="F16" s="2"/>
    </row>
    <row r="17" spans="1:13">
      <c r="B17" s="2"/>
      <c r="C17" s="2"/>
      <c r="D17" s="2"/>
      <c r="E17" s="2"/>
      <c r="F17" s="2"/>
    </row>
    <row r="18" spans="1:13">
      <c r="B18" s="2"/>
      <c r="C18" s="2"/>
      <c r="D18" s="2"/>
      <c r="E18" s="2"/>
      <c r="F18" s="2"/>
    </row>
    <row r="19" spans="1:13">
      <c r="B19" s="2"/>
      <c r="C19" s="2"/>
      <c r="D19" s="2"/>
      <c r="E19" s="2"/>
      <c r="F19" s="2"/>
    </row>
    <row r="20" spans="1:13">
      <c r="B20" s="2"/>
      <c r="C20" s="2"/>
      <c r="D20" s="2"/>
      <c r="E20" s="2"/>
      <c r="F20" s="2"/>
    </row>
    <row r="21" spans="1:13">
      <c r="A21" s="2"/>
      <c r="B21" s="2"/>
      <c r="C21" s="2"/>
      <c r="D21" s="2"/>
      <c r="E21" s="2"/>
      <c r="F21" s="2"/>
      <c r="G21" s="2"/>
      <c r="H21" s="2"/>
      <c r="I21" s="2"/>
      <c r="J21" s="2"/>
      <c r="K21" s="2"/>
      <c r="M21" s="582"/>
    </row>
    <row r="22" spans="1:13" ht="24" customHeight="1">
      <c r="B22" s="756" t="str">
        <f>+'Introducerea datelor'!B36&amp; " - in ("&amp;'Introducerea datelor'!D26&amp;")  "&amp;+I3&amp;" "&amp;+K3</f>
        <v>F2: Bugetul și cheltuielile actuale după Obiectivele Grantului - in (€)  Perioada de Raportare: P3</v>
      </c>
      <c r="C22" s="757"/>
      <c r="D22" s="757"/>
      <c r="E22" s="757"/>
      <c r="F22" s="757"/>
      <c r="G22" s="160"/>
      <c r="H22" s="756" t="str">
        <f>+'Introducerea datelor'!B60&amp;"      "&amp;+I3&amp;" "&amp;+K3</f>
        <v>F4: Ultima perioadă de raportare și debursare a RP       Perioada de Raportare: P3</v>
      </c>
      <c r="I22" s="736"/>
      <c r="J22" s="736"/>
      <c r="K22" s="736"/>
    </row>
    <row r="23" spans="1:13" ht="86.25" customHeight="1">
      <c r="B23" s="564" t="s">
        <v>373</v>
      </c>
      <c r="C23" s="769" t="s">
        <v>529</v>
      </c>
      <c r="D23" s="770"/>
      <c r="E23" s="770"/>
      <c r="F23" s="771"/>
      <c r="G23" s="583"/>
      <c r="H23" s="581" t="s">
        <v>373</v>
      </c>
      <c r="I23" s="761"/>
      <c r="J23" s="762"/>
      <c r="K23" s="763"/>
    </row>
    <row r="24" spans="1:13" ht="15.75" thickBot="1">
      <c r="B24" s="584"/>
      <c r="C24" s="584"/>
      <c r="D24" s="584"/>
      <c r="E24" s="584"/>
      <c r="F24" s="584"/>
      <c r="G24" s="584"/>
      <c r="H24" s="585"/>
      <c r="I24" s="585"/>
      <c r="J24" s="584"/>
      <c r="K24" s="584"/>
    </row>
    <row r="25" spans="1:13" ht="29.25" customHeight="1" thickBot="1">
      <c r="G25" s="179"/>
      <c r="H25" s="764" t="s">
        <v>412</v>
      </c>
      <c r="I25" s="765"/>
      <c r="J25" s="765"/>
      <c r="K25" s="766"/>
    </row>
    <row r="26" spans="1:13">
      <c r="G26" s="159"/>
      <c r="H26" s="752"/>
      <c r="I26" s="753"/>
      <c r="J26" s="169" t="s">
        <v>313</v>
      </c>
      <c r="K26" s="170" t="s">
        <v>314</v>
      </c>
    </row>
    <row r="27" spans="1:13" ht="23.25" customHeight="1">
      <c r="G27" s="180"/>
      <c r="H27" s="758" t="str">
        <f>'Introducerea datelor'!B64</f>
        <v>Zile necesare pentru remiterea PU/DR final către ALF</v>
      </c>
      <c r="I27" s="759"/>
      <c r="J27" s="242">
        <f>+'Introducerea datelor'!C64</f>
        <v>60</v>
      </c>
      <c r="K27" s="262">
        <f>+'Introducerea datelor'!D64</f>
        <v>89</v>
      </c>
    </row>
    <row r="28" spans="1:13" ht="25.5" customHeight="1">
      <c r="G28" s="180"/>
      <c r="H28" s="758" t="str">
        <f>'Introducerea datelor'!B65</f>
        <v>Zile necesare pentru debursare către RP</v>
      </c>
      <c r="I28" s="759"/>
      <c r="J28" s="242">
        <f>+'Introducerea datelor'!C65</f>
        <v>5</v>
      </c>
      <c r="K28" s="262">
        <f>+'Introducerea datelor'!D65</f>
        <v>5</v>
      </c>
    </row>
    <row r="29" spans="1:13" ht="24.75" customHeight="1" thickBot="1">
      <c r="G29" s="180"/>
      <c r="H29" s="754" t="str">
        <f>'Introducerea datelor'!B66</f>
        <v>Zile necesare pentru debursare către SR</v>
      </c>
      <c r="I29" s="755"/>
      <c r="J29" s="243">
        <f>+'Introducerea datelor'!C66</f>
        <v>5</v>
      </c>
      <c r="K29" s="309">
        <f>+'Introducerea datelor'!D66</f>
        <v>5</v>
      </c>
    </row>
    <row r="31" spans="1:13">
      <c r="C31" s="15"/>
      <c r="D31" s="135"/>
    </row>
    <row r="32" spans="1:13">
      <c r="C32" s="15"/>
      <c r="D32" s="135"/>
    </row>
    <row r="34" spans="5:5">
      <c r="E34" s="2"/>
    </row>
  </sheetData>
  <sheetProtection sheet="1" objects="1" scenarios="1"/>
  <mergeCells count="21">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 ref="B2:K2"/>
    <mergeCell ref="D5:I5"/>
    <mergeCell ref="I4:J4"/>
    <mergeCell ref="I3:J3"/>
    <mergeCell ref="E3:H3"/>
    <mergeCell ref="E4:H4"/>
    <mergeCell ref="C3:D3"/>
  </mergeCells>
  <phoneticPr fontId="23" type="noConversion"/>
  <conditionalFormatting sqref="K27:K29">
    <cfRule type="cellIs" dxfId="34" priority="4" stopIfTrue="1" operator="greaterThan">
      <formula>J27</formula>
    </cfRule>
    <cfRule type="cellIs" dxfId="33" priority="5" stopIfTrue="1" operator="between">
      <formula>J27</formula>
      <formula>1</formula>
    </cfRule>
    <cfRule type="cellIs" dxfId="32" priority="6" stopIfTrue="1" operator="equal">
      <formula>0</formula>
    </cfRule>
  </conditionalFormatting>
  <conditionalFormatting sqref="C4:D4">
    <cfRule type="cellIs" dxfId="31" priority="1" stopIfTrue="1" operator="equal">
      <formula>"C"</formula>
    </cfRule>
    <cfRule type="cellIs" dxfId="30" priority="2" stopIfTrue="1" operator="equal">
      <formula>"B2"</formula>
    </cfRule>
    <cfRule type="cellIs" dxfId="29" priority="3" stopIfTrue="1" operator="equal">
      <formula>"B1"</formula>
    </cfRule>
  </conditionalFormatting>
  <pageMargins left="0.70866141732283472" right="0.70866141732283472" top="0.74803149606299213" bottom="0.74803149606299213" header="0.31496062992125984" footer="0.31496062992125984"/>
  <pageSetup paperSize="256" scale="40"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pageSetUpPr fitToPage="1"/>
  </sheetPr>
  <dimension ref="A2:AL65"/>
  <sheetViews>
    <sheetView showGridLines="0" topLeftCell="B43" zoomScaleNormal="100" zoomScaleSheetLayoutView="100" workbookViewId="0">
      <selection activeCell="W46" sqref="W46"/>
    </sheetView>
  </sheetViews>
  <sheetFormatPr defaultColWidth="11" defaultRowHeight="15"/>
  <cols>
    <col min="1" max="1" width="6" style="586" hidden="1" customWidth="1"/>
    <col min="2" max="2" width="17.140625" style="240" bestFit="1" customWidth="1"/>
    <col min="3" max="3" width="14" style="3" bestFit="1" customWidth="1"/>
    <col min="4" max="4" width="14.140625" style="3" customWidth="1"/>
    <col min="5" max="5" width="14.85546875" style="3" customWidth="1"/>
    <col min="6" max="6" width="11.7109375" style="241" customWidth="1"/>
    <col min="7" max="7" width="11" style="241" bestFit="1" customWidth="1"/>
    <col min="8" max="10" width="6" style="3" customWidth="1"/>
    <col min="11" max="11" width="14.140625" style="3" customWidth="1"/>
    <col min="12" max="12" width="5.28515625" style="3" bestFit="1" customWidth="1"/>
    <col min="13" max="13" width="17.140625" style="3" customWidth="1"/>
    <col min="14" max="14" width="5" style="3" customWidth="1"/>
    <col min="15" max="15" width="6.5703125" style="3" customWidth="1"/>
    <col min="16" max="16" width="4.140625" style="3" customWidth="1"/>
    <col min="17" max="17" width="8" style="3" bestFit="1" customWidth="1"/>
    <col min="18" max="18" width="27.7109375" style="3" customWidth="1"/>
    <col min="19" max="19" width="6.5703125" style="3" customWidth="1"/>
    <col min="20" max="20" width="4.85546875" style="587" bestFit="1" customWidth="1"/>
    <col min="21" max="21" width="9.28515625" style="587" bestFit="1" customWidth="1"/>
    <col min="22" max="23" width="11" style="587"/>
    <col min="24" max="24" width="9.28515625" style="587" bestFit="1" customWidth="1"/>
    <col min="25" max="25" width="7.7109375" style="587" bestFit="1" customWidth="1"/>
    <col min="26" max="26" width="11" style="587"/>
    <col min="27" max="27" width="6.5703125" style="587" bestFit="1" customWidth="1"/>
    <col min="28" max="28" width="7.140625" style="587" bestFit="1" customWidth="1"/>
    <col min="29" max="29" width="9.28515625" style="587" bestFit="1" customWidth="1"/>
    <col min="30" max="32" width="11" style="587"/>
    <col min="33" max="33" width="9.28515625" style="587" bestFit="1" customWidth="1"/>
    <col min="34" max="16384" width="11" style="3"/>
  </cols>
  <sheetData>
    <row r="2" spans="1:36" ht="18.75">
      <c r="C2" s="728" t="str">
        <f>+"Tabel Programatic de Evaluare:  "&amp;"  "&amp;IF(+'Introducerea datelor'!C4="Please Select","",'Introducerea datelor'!C4&amp;" - ")&amp;IF('Introducerea datelor'!G6="Please Select","",'Introducerea datelor'!G6)</f>
        <v>Tabel Programatic de Evaluare:    Moldova - HIVAIDS / TB</v>
      </c>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row>
    <row r="3" spans="1:36" ht="24.75" customHeight="1">
      <c r="C3" s="426" t="str">
        <f>+IF('Introducerea datelor'!G8="Please Select","",'Introducerea datelor'!G8)</f>
        <v/>
      </c>
      <c r="D3" s="733" t="str">
        <f>+IF('Introducerea datelor'!I8="Please Select","",'Introducerea datelor'!I8)</f>
        <v/>
      </c>
      <c r="E3" s="733"/>
      <c r="F3" s="731"/>
      <c r="G3" s="731"/>
      <c r="H3" s="731"/>
      <c r="I3" s="731"/>
      <c r="J3" s="805"/>
      <c r="K3" s="805"/>
      <c r="L3" s="805"/>
      <c r="O3" s="796" t="str">
        <f>+'Introducerea datelor'!B16</f>
        <v>Perioada de Raportare:</v>
      </c>
      <c r="P3" s="736"/>
      <c r="Q3" s="736"/>
      <c r="R3" s="121" t="str">
        <f>+'Introducerea datelor'!C16</f>
        <v>P3</v>
      </c>
    </row>
    <row r="4" spans="1:36">
      <c r="C4" s="426" t="str">
        <f>+'Introducerea datelor'!B12</f>
        <v>Ultimul Rating:</v>
      </c>
      <c r="D4" s="806" t="str">
        <f>+IF('Introducerea datelor'!C12="Please Select","",'Introducerea datelor'!C12)</f>
        <v/>
      </c>
      <c r="E4" s="806"/>
      <c r="F4" s="731" t="str">
        <f>+'Introducerea datelor'!C8</f>
        <v>IP UCIMP DS</v>
      </c>
      <c r="G4" s="731"/>
      <c r="H4" s="731"/>
      <c r="I4" s="731"/>
      <c r="J4" s="731"/>
      <c r="K4" s="731"/>
      <c r="L4" s="731"/>
      <c r="M4" s="731"/>
      <c r="P4" s="185"/>
      <c r="Q4" s="426" t="str">
        <f>+'Introducerea datelor'!D16</f>
        <v>De la:</v>
      </c>
      <c r="R4" s="588">
        <f>+IF(ISBLANK('Introducerea datelor'!E16),"",'Introducerea datelor'!E16)</f>
        <v>43466</v>
      </c>
      <c r="Z4" s="5"/>
      <c r="AA4" s="5"/>
      <c r="AB4" s="5"/>
      <c r="AC4" s="5"/>
      <c r="AD4" s="5"/>
    </row>
    <row r="5" spans="1:36">
      <c r="C5" s="426"/>
      <c r="D5" s="426"/>
      <c r="E5" s="731" t="str">
        <f>+'Introducerea datelor'!G4</f>
        <v>Consolidarea controlului tuberculozei și reducerea SIDA și a mortalității aferente în Republica Moldova</v>
      </c>
      <c r="F5" s="731"/>
      <c r="G5" s="731"/>
      <c r="H5" s="731"/>
      <c r="I5" s="731"/>
      <c r="J5" s="731"/>
      <c r="K5" s="731"/>
      <c r="L5" s="731"/>
      <c r="M5" s="731"/>
      <c r="N5" s="731"/>
      <c r="O5" s="731"/>
      <c r="Q5" s="426" t="str">
        <f>+'Introducerea datelor'!F16</f>
        <v>Pînă la:</v>
      </c>
      <c r="R5" s="588">
        <f>+IF(ISBLANK('Introducerea datelor'!G16),"",'Introducerea datelor'!G16)</f>
        <v>43646</v>
      </c>
      <c r="T5" s="5"/>
      <c r="U5" s="5"/>
      <c r="V5" s="5"/>
      <c r="W5" s="5"/>
      <c r="X5" s="5"/>
      <c r="Y5" s="5"/>
      <c r="Z5" s="5"/>
      <c r="AA5" s="5"/>
      <c r="AB5" s="5" t="s">
        <v>23</v>
      </c>
      <c r="AC5" s="5"/>
      <c r="AD5" s="5" t="s">
        <v>212</v>
      </c>
      <c r="AE5" s="5"/>
      <c r="AF5" s="5"/>
      <c r="AG5" s="5"/>
      <c r="AH5" s="589"/>
      <c r="AI5" s="589"/>
      <c r="AJ5" s="589"/>
    </row>
    <row r="6" spans="1:36" ht="18.75">
      <c r="C6" s="426"/>
      <c r="D6" s="426"/>
      <c r="E6" s="428"/>
      <c r="F6" s="428"/>
      <c r="G6" s="804" t="s">
        <v>385</v>
      </c>
      <c r="H6" s="804"/>
      <c r="I6" s="804"/>
      <c r="J6" s="804"/>
      <c r="K6" s="804"/>
      <c r="L6" s="804"/>
      <c r="M6" s="428"/>
      <c r="P6" s="123"/>
      <c r="Q6" s="144"/>
      <c r="T6" s="5"/>
      <c r="U6" s="5"/>
      <c r="V6" s="5"/>
      <c r="W6" s="5"/>
      <c r="X6" s="5"/>
      <c r="Y6" s="5"/>
      <c r="Z6" s="5"/>
      <c r="AA6" s="5"/>
      <c r="AB6" s="5"/>
      <c r="AC6" s="5"/>
      <c r="AD6" s="5"/>
      <c r="AE6" s="5"/>
      <c r="AF6" s="5"/>
      <c r="AG6" s="5"/>
      <c r="AH6" s="589"/>
      <c r="AI6" s="589"/>
      <c r="AJ6" s="589"/>
    </row>
    <row r="7" spans="1:36">
      <c r="C7" s="426"/>
      <c r="D7" s="426"/>
      <c r="E7" s="428"/>
      <c r="F7" s="428"/>
      <c r="G7" s="428"/>
      <c r="H7" s="428"/>
      <c r="I7" s="428"/>
      <c r="J7" s="428"/>
      <c r="K7" s="428"/>
      <c r="L7" s="428"/>
      <c r="M7" s="428"/>
      <c r="P7" s="123"/>
      <c r="Q7" s="122"/>
      <c r="R7" s="122"/>
      <c r="T7" s="5"/>
      <c r="U7" s="5"/>
      <c r="V7" s="5"/>
      <c r="W7" s="5"/>
      <c r="X7" s="5"/>
      <c r="Y7" s="5"/>
      <c r="Z7" s="5"/>
      <c r="AA7" s="5"/>
      <c r="AB7" s="5"/>
      <c r="AC7" s="5"/>
      <c r="AD7" s="5"/>
      <c r="AE7" s="5"/>
      <c r="AF7" s="5"/>
      <c r="AG7" s="5"/>
      <c r="AH7" s="589"/>
      <c r="AI7" s="589"/>
      <c r="AJ7" s="589"/>
    </row>
    <row r="8" spans="1:36" s="591" customFormat="1" ht="42" customHeight="1">
      <c r="A8" s="590"/>
      <c r="B8" s="407"/>
      <c r="D8" s="798" t="str">
        <f>+'Introducerea datelor'!B119</f>
        <v>TB I-3(M): Rata mortalităţii  - Numărul estimat de decese cauzate de TB (toate formele) pe an, la 100,000 persoane</v>
      </c>
      <c r="E8" s="798"/>
      <c r="F8" s="798"/>
      <c r="G8" s="592"/>
      <c r="H8" s="798" t="str">
        <f>+'Introducerea datelor'!B121</f>
        <v xml:space="preserve">TB I-4(M): Prevalența TB MDR printre cazurile noi de tuberculoză </v>
      </c>
      <c r="I8" s="798"/>
      <c r="J8" s="798"/>
      <c r="K8" s="798"/>
      <c r="L8" s="798"/>
      <c r="M8" s="593"/>
      <c r="N8" s="797" t="str">
        <f>+'Introducerea datelor'!B123</f>
        <v>HIV I-4: Mortalitatea asociată cu SIDA la 100,000 populaţie</v>
      </c>
      <c r="O8" s="797"/>
      <c r="P8" s="797"/>
      <c r="Q8" s="797"/>
      <c r="R8" s="797"/>
      <c r="T8" s="594"/>
      <c r="U8" s="594"/>
      <c r="V8" s="594"/>
      <c r="W8" s="594"/>
      <c r="X8" s="594"/>
      <c r="Y8" s="594"/>
      <c r="Z8" s="594"/>
      <c r="AA8" s="594"/>
      <c r="AB8" s="594"/>
      <c r="AC8" s="594"/>
      <c r="AD8" s="594"/>
      <c r="AE8" s="594"/>
      <c r="AF8" s="594"/>
      <c r="AG8" s="594"/>
    </row>
    <row r="9" spans="1:36" ht="144.75" customHeight="1">
      <c r="C9" s="595" t="s">
        <v>380</v>
      </c>
      <c r="D9" s="793" t="s">
        <v>511</v>
      </c>
      <c r="E9" s="799"/>
      <c r="F9" s="800"/>
      <c r="G9" s="596" t="s">
        <v>381</v>
      </c>
      <c r="H9" s="793" t="s">
        <v>509</v>
      </c>
      <c r="I9" s="799"/>
      <c r="J9" s="799"/>
      <c r="K9" s="799"/>
      <c r="L9" s="800"/>
      <c r="M9" s="596" t="s">
        <v>382</v>
      </c>
      <c r="N9" s="793" t="s">
        <v>510</v>
      </c>
      <c r="O9" s="794"/>
      <c r="P9" s="794"/>
      <c r="Q9" s="794"/>
      <c r="R9" s="795"/>
    </row>
    <row r="10" spans="1:36">
      <c r="C10" s="426"/>
      <c r="D10" s="426"/>
      <c r="E10" s="428"/>
      <c r="F10" s="428"/>
      <c r="G10" s="428"/>
      <c r="H10" s="428"/>
      <c r="I10" s="428"/>
      <c r="J10" s="428"/>
      <c r="K10" s="428"/>
      <c r="L10" s="428"/>
      <c r="M10" s="428"/>
      <c r="P10" s="123"/>
      <c r="Q10" s="122"/>
    </row>
    <row r="11" spans="1:36">
      <c r="C11" s="426"/>
      <c r="D11" s="426"/>
      <c r="E11" s="428"/>
      <c r="F11" s="428"/>
      <c r="G11" s="428"/>
      <c r="H11" s="428"/>
      <c r="I11" s="428"/>
      <c r="J11" s="428"/>
      <c r="K11" s="428"/>
      <c r="L11" s="428"/>
      <c r="M11" s="428"/>
      <c r="P11" s="123"/>
      <c r="Q11" s="122"/>
    </row>
    <row r="12" spans="1:36">
      <c r="C12" s="426"/>
      <c r="D12" s="426"/>
      <c r="E12" s="428"/>
      <c r="F12" s="428"/>
      <c r="G12" s="428"/>
      <c r="H12" s="428"/>
      <c r="I12" s="428"/>
      <c r="J12" s="428"/>
      <c r="K12" s="428"/>
      <c r="L12" s="428"/>
      <c r="M12" s="428"/>
      <c r="P12" s="123"/>
      <c r="Q12" s="122"/>
    </row>
    <row r="13" spans="1:36">
      <c r="C13" s="426"/>
      <c r="D13" s="426"/>
      <c r="E13" s="428"/>
      <c r="F13" s="428"/>
      <c r="G13" s="428"/>
      <c r="H13" s="428"/>
      <c r="I13" s="428"/>
      <c r="J13" s="428"/>
      <c r="K13" s="428"/>
      <c r="L13" s="428"/>
      <c r="M13" s="428"/>
      <c r="P13" s="123"/>
      <c r="Q13" s="122"/>
    </row>
    <row r="14" spans="1:36">
      <c r="C14" s="426"/>
      <c r="D14" s="426"/>
      <c r="E14" s="428"/>
      <c r="F14" s="428"/>
      <c r="G14" s="428"/>
      <c r="H14" s="428"/>
      <c r="I14" s="428"/>
      <c r="J14" s="428"/>
      <c r="K14" s="428"/>
      <c r="L14" s="428"/>
      <c r="M14" s="428"/>
      <c r="P14" s="123"/>
      <c r="Q14" s="122"/>
    </row>
    <row r="15" spans="1:36">
      <c r="C15" s="426"/>
      <c r="D15" s="426"/>
      <c r="E15" s="428"/>
      <c r="F15" s="428"/>
      <c r="G15" s="428"/>
      <c r="H15" s="428"/>
      <c r="I15" s="428"/>
      <c r="J15" s="428"/>
      <c r="K15" s="428"/>
      <c r="L15" s="428"/>
      <c r="M15" s="428"/>
      <c r="P15" s="123"/>
      <c r="Q15" s="122"/>
    </row>
    <row r="16" spans="1:36">
      <c r="C16" s="426"/>
      <c r="D16" s="426"/>
      <c r="E16" s="428"/>
      <c r="F16" s="428"/>
      <c r="G16" s="428"/>
      <c r="H16" s="428"/>
      <c r="I16" s="428"/>
      <c r="J16" s="428"/>
      <c r="K16" s="428"/>
      <c r="L16" s="428"/>
      <c r="M16" s="428"/>
      <c r="P16" s="123"/>
      <c r="Q16" s="122"/>
    </row>
    <row r="17" spans="1:36">
      <c r="C17" s="426"/>
      <c r="D17" s="426"/>
      <c r="E17" s="428"/>
      <c r="F17" s="428"/>
      <c r="G17" s="428"/>
      <c r="H17" s="428"/>
      <c r="I17" s="428"/>
      <c r="J17" s="428"/>
      <c r="K17" s="428"/>
      <c r="L17" s="428"/>
      <c r="M17" s="428"/>
      <c r="P17" s="123"/>
      <c r="Q17" s="122"/>
      <c r="T17" s="5"/>
      <c r="U17" s="5"/>
      <c r="V17" s="5"/>
      <c r="W17" s="5"/>
      <c r="X17" s="5"/>
      <c r="Y17" s="5"/>
      <c r="Z17" s="5"/>
      <c r="AA17" s="5"/>
      <c r="AB17" s="5"/>
      <c r="AC17" s="5"/>
      <c r="AD17" s="5"/>
      <c r="AE17" s="5"/>
      <c r="AF17" s="5"/>
      <c r="AG17" s="5"/>
      <c r="AH17" s="589"/>
      <c r="AI17" s="589"/>
      <c r="AJ17" s="589"/>
    </row>
    <row r="18" spans="1:36">
      <c r="A18" s="3"/>
      <c r="B18" s="3"/>
      <c r="F18" s="3"/>
      <c r="G18" s="3"/>
    </row>
    <row r="19" spans="1:36" s="591" customFormat="1" ht="50.25" customHeight="1">
      <c r="D19" s="798" t="str">
        <f>+'Introducerea datelor'!B125</f>
        <v xml:space="preserve">HIV I-9a (M): Procentul BSB care trăiesc cu HIV </v>
      </c>
      <c r="E19" s="798"/>
      <c r="F19" s="798"/>
      <c r="G19" s="592"/>
      <c r="H19" s="798" t="str">
        <f>+'Introducerea datelor'!B127</f>
        <v>HIV I-10 (M): Procentul LSC care trăiesc cu HIV</v>
      </c>
      <c r="I19" s="798"/>
      <c r="J19" s="798"/>
      <c r="K19" s="798"/>
      <c r="L19" s="798"/>
      <c r="M19" s="593"/>
      <c r="N19" s="797" t="str">
        <f>+'Introducerea datelor'!B129</f>
        <v>HIV I-11 (M): Procentul consumatorilor de droguri injectabile care trăiesc cu HIV</v>
      </c>
      <c r="O19" s="797"/>
      <c r="P19" s="797"/>
      <c r="Q19" s="797"/>
      <c r="R19" s="797"/>
      <c r="T19" s="594"/>
      <c r="U19" s="594"/>
      <c r="V19" s="594"/>
      <c r="W19" s="594"/>
      <c r="X19" s="594"/>
      <c r="Y19" s="594"/>
      <c r="Z19" s="594"/>
      <c r="AA19" s="594"/>
      <c r="AB19" s="594"/>
      <c r="AC19" s="594"/>
      <c r="AD19" s="594"/>
      <c r="AE19" s="594"/>
      <c r="AF19" s="594"/>
      <c r="AG19" s="594"/>
    </row>
    <row r="20" spans="1:36" ht="117.75" customHeight="1">
      <c r="A20" s="3"/>
      <c r="B20" s="3"/>
      <c r="C20" s="595" t="s">
        <v>380</v>
      </c>
      <c r="D20" s="793" t="s">
        <v>507</v>
      </c>
      <c r="E20" s="799"/>
      <c r="F20" s="800"/>
      <c r="G20" s="596" t="s">
        <v>381</v>
      </c>
      <c r="H20" s="793" t="s">
        <v>507</v>
      </c>
      <c r="I20" s="799"/>
      <c r="J20" s="799"/>
      <c r="K20" s="799"/>
      <c r="L20" s="800"/>
      <c r="M20" s="596" t="s">
        <v>382</v>
      </c>
      <c r="N20" s="793" t="s">
        <v>507</v>
      </c>
      <c r="O20" s="794"/>
      <c r="P20" s="794"/>
      <c r="Q20" s="794"/>
      <c r="R20" s="795"/>
    </row>
    <row r="21" spans="1:36">
      <c r="A21" s="3"/>
      <c r="B21" s="3"/>
      <c r="C21" s="426"/>
      <c r="D21" s="426"/>
      <c r="E21" s="428"/>
      <c r="F21" s="428"/>
      <c r="G21" s="428"/>
      <c r="H21" s="428"/>
      <c r="I21" s="428"/>
      <c r="J21" s="428"/>
      <c r="K21" s="428"/>
      <c r="L21" s="428"/>
      <c r="M21" s="428"/>
      <c r="P21" s="123"/>
      <c r="Q21" s="122"/>
    </row>
    <row r="22" spans="1:36">
      <c r="A22" s="3"/>
      <c r="B22" s="3"/>
      <c r="C22" s="426"/>
      <c r="D22" s="426"/>
      <c r="E22" s="428"/>
      <c r="F22" s="428"/>
      <c r="G22" s="428"/>
      <c r="H22" s="428"/>
      <c r="I22" s="428"/>
      <c r="J22" s="428"/>
      <c r="K22" s="428"/>
      <c r="L22" s="428"/>
      <c r="M22" s="428"/>
      <c r="P22" s="123"/>
      <c r="Q22" s="122"/>
    </row>
    <row r="23" spans="1:36">
      <c r="A23" s="3"/>
      <c r="B23" s="3"/>
      <c r="C23" s="426"/>
      <c r="D23" s="426"/>
      <c r="E23" s="428"/>
      <c r="F23" s="428"/>
      <c r="G23" s="428"/>
      <c r="H23" s="428"/>
      <c r="I23" s="428"/>
      <c r="J23" s="428"/>
      <c r="K23" s="428"/>
      <c r="L23" s="428"/>
      <c r="M23" s="428"/>
      <c r="P23" s="123"/>
      <c r="Q23" s="122"/>
    </row>
    <row r="24" spans="1:36">
      <c r="A24" s="3"/>
      <c r="B24" s="3"/>
      <c r="C24" s="426"/>
      <c r="D24" s="426"/>
      <c r="E24" s="428"/>
      <c r="F24" s="428"/>
      <c r="G24" s="428"/>
      <c r="H24" s="428"/>
      <c r="I24" s="428"/>
      <c r="J24" s="428"/>
      <c r="K24" s="428"/>
      <c r="L24" s="428"/>
      <c r="M24" s="428"/>
      <c r="P24" s="123"/>
      <c r="Q24" s="122"/>
    </row>
    <row r="25" spans="1:36">
      <c r="A25" s="3"/>
      <c r="B25" s="3"/>
      <c r="C25" s="426"/>
      <c r="D25" s="426"/>
      <c r="E25" s="428"/>
      <c r="F25" s="428"/>
      <c r="G25" s="428"/>
      <c r="H25" s="428"/>
      <c r="I25" s="428"/>
      <c r="J25" s="428"/>
      <c r="K25" s="428"/>
      <c r="L25" s="428"/>
      <c r="M25" s="428"/>
      <c r="P25" s="123"/>
      <c r="Q25" s="122"/>
    </row>
    <row r="26" spans="1:36">
      <c r="A26" s="3"/>
      <c r="B26" s="3"/>
      <c r="C26" s="426"/>
      <c r="D26" s="426"/>
      <c r="E26" s="428"/>
      <c r="F26" s="428"/>
      <c r="G26" s="428"/>
      <c r="H26" s="428"/>
      <c r="I26" s="428"/>
      <c r="J26" s="428"/>
      <c r="K26" s="428"/>
      <c r="L26" s="428"/>
      <c r="M26" s="428"/>
      <c r="P26" s="123"/>
      <c r="Q26" s="122"/>
    </row>
    <row r="27" spans="1:36">
      <c r="A27" s="3"/>
      <c r="B27" s="3"/>
      <c r="C27" s="426"/>
      <c r="D27" s="426"/>
      <c r="E27" s="428"/>
      <c r="F27" s="428"/>
      <c r="G27" s="428"/>
      <c r="H27" s="428"/>
      <c r="I27" s="428"/>
      <c r="J27" s="428"/>
      <c r="K27" s="428"/>
      <c r="L27" s="428"/>
      <c r="M27" s="428"/>
      <c r="P27" s="123"/>
      <c r="Q27" s="122"/>
    </row>
    <row r="28" spans="1:36">
      <c r="A28" s="3"/>
      <c r="B28" s="3"/>
      <c r="C28" s="426"/>
      <c r="D28" s="426"/>
      <c r="E28" s="428"/>
      <c r="F28" s="428"/>
      <c r="G28" s="428"/>
      <c r="H28" s="428"/>
      <c r="I28" s="428"/>
      <c r="J28" s="428"/>
      <c r="K28" s="428"/>
      <c r="L28" s="428"/>
      <c r="M28" s="428"/>
      <c r="P28" s="123"/>
      <c r="Q28" s="122"/>
    </row>
    <row r="29" spans="1:36">
      <c r="F29" s="3"/>
      <c r="G29" s="3"/>
      <c r="T29" s="5"/>
      <c r="U29" s="5"/>
      <c r="V29" s="5"/>
      <c r="W29" s="5"/>
      <c r="X29" s="5"/>
      <c r="Y29" s="5"/>
      <c r="Z29" s="5"/>
      <c r="AA29" s="5"/>
      <c r="AB29" s="5"/>
      <c r="AC29" s="5"/>
      <c r="AD29" s="5"/>
      <c r="AE29" s="5"/>
      <c r="AF29" s="5"/>
      <c r="AG29" s="5"/>
      <c r="AH29" s="589"/>
      <c r="AI29" s="589"/>
      <c r="AJ29" s="589"/>
    </row>
    <row r="30" spans="1:36">
      <c r="C30" s="426"/>
      <c r="D30" s="426"/>
      <c r="E30" s="428"/>
      <c r="F30" s="428"/>
      <c r="G30" s="428"/>
      <c r="H30" s="428"/>
      <c r="I30" s="428"/>
      <c r="J30" s="428"/>
      <c r="K30" s="428"/>
      <c r="L30" s="428"/>
      <c r="M30" s="428"/>
      <c r="P30" s="123"/>
      <c r="Q30" s="122"/>
      <c r="T30" s="5"/>
      <c r="U30" s="5"/>
      <c r="V30" s="5"/>
      <c r="W30" s="5"/>
      <c r="X30" s="5"/>
      <c r="Y30" s="5"/>
      <c r="Z30" s="5"/>
      <c r="AA30" s="5"/>
      <c r="AB30" s="5"/>
      <c r="AC30" s="5"/>
      <c r="AD30" s="5"/>
      <c r="AE30" s="5"/>
      <c r="AF30" s="5"/>
      <c r="AG30" s="5"/>
      <c r="AH30" s="589"/>
      <c r="AI30" s="589"/>
      <c r="AJ30" s="589"/>
    </row>
    <row r="31" spans="1:36">
      <c r="C31" s="426"/>
      <c r="D31" s="426"/>
      <c r="E31" s="428"/>
      <c r="F31" s="428"/>
      <c r="G31" s="428"/>
      <c r="H31" s="428"/>
      <c r="I31" s="428"/>
      <c r="J31" s="428"/>
      <c r="K31" s="428"/>
      <c r="L31" s="428"/>
      <c r="M31" s="428"/>
      <c r="P31" s="123"/>
      <c r="Q31" s="122"/>
      <c r="T31" s="5"/>
      <c r="U31" s="5"/>
      <c r="V31" s="5"/>
      <c r="W31" s="5"/>
      <c r="X31" s="5"/>
      <c r="Y31" s="5"/>
      <c r="Z31" s="5"/>
      <c r="AA31" s="5"/>
      <c r="AB31" s="5"/>
      <c r="AC31" s="5"/>
      <c r="AD31" s="5"/>
      <c r="AE31" s="5"/>
      <c r="AF31" s="5"/>
      <c r="AG31" s="5"/>
      <c r="AH31" s="589"/>
      <c r="AI31" s="589"/>
      <c r="AJ31" s="589"/>
    </row>
    <row r="32" spans="1:36">
      <c r="C32" s="426"/>
      <c r="D32" s="426"/>
      <c r="E32" s="428"/>
      <c r="F32" s="428"/>
      <c r="G32" s="428"/>
      <c r="H32" s="428"/>
      <c r="I32" s="428"/>
      <c r="J32" s="428"/>
      <c r="K32" s="428"/>
      <c r="L32" s="428"/>
      <c r="M32" s="428"/>
      <c r="P32" s="123"/>
      <c r="Q32" s="122"/>
      <c r="T32" s="5"/>
      <c r="U32" s="5"/>
      <c r="V32" s="5"/>
      <c r="W32" s="5"/>
      <c r="X32" s="5"/>
      <c r="Y32" s="5"/>
      <c r="Z32" s="5"/>
      <c r="AA32" s="5"/>
      <c r="AB32" s="5"/>
      <c r="AC32" s="5"/>
      <c r="AD32" s="5"/>
      <c r="AE32" s="5"/>
      <c r="AF32" s="5"/>
      <c r="AG32" s="5"/>
      <c r="AH32" s="589"/>
      <c r="AI32" s="589"/>
      <c r="AJ32" s="589"/>
    </row>
    <row r="33" spans="1:38" ht="18.75">
      <c r="C33" s="99"/>
      <c r="D33" s="426"/>
      <c r="E33" s="97"/>
      <c r="F33" s="801"/>
      <c r="G33" s="801"/>
      <c r="H33" s="801"/>
      <c r="I33" s="801"/>
      <c r="J33" s="801"/>
      <c r="K33" s="801"/>
      <c r="L33" s="801"/>
      <c r="T33" s="5"/>
      <c r="U33" s="5"/>
      <c r="V33" s="5"/>
      <c r="W33" s="5"/>
      <c r="X33" s="5"/>
      <c r="Y33" s="5"/>
      <c r="Z33" s="5"/>
      <c r="AA33" s="5"/>
      <c r="AB33" s="5"/>
      <c r="AC33" s="5"/>
      <c r="AD33" s="5"/>
      <c r="AE33" s="5"/>
      <c r="AF33" s="5"/>
      <c r="AG33" s="5"/>
      <c r="AH33" s="589"/>
      <c r="AI33" s="589"/>
      <c r="AJ33" s="589"/>
    </row>
    <row r="34" spans="1:38" ht="43.5" customHeight="1">
      <c r="C34" s="802" t="s">
        <v>383</v>
      </c>
      <c r="D34" s="802"/>
      <c r="E34" s="802"/>
      <c r="F34" s="429" t="s">
        <v>360</v>
      </c>
      <c r="G34" s="429" t="s">
        <v>361</v>
      </c>
      <c r="H34" s="784" t="s">
        <v>247</v>
      </c>
      <c r="I34" s="785"/>
      <c r="J34" s="786" t="s">
        <v>248</v>
      </c>
      <c r="K34" s="787"/>
      <c r="L34" s="184" t="s">
        <v>249</v>
      </c>
      <c r="M34" s="781" t="s">
        <v>384</v>
      </c>
      <c r="N34" s="782"/>
      <c r="O34" s="782"/>
      <c r="P34" s="782"/>
      <c r="Q34" s="782"/>
      <c r="R34" s="783"/>
      <c r="T34" s="597" t="s">
        <v>53</v>
      </c>
      <c r="U34" s="598">
        <v>0</v>
      </c>
      <c r="V34" s="599">
        <v>0.3</v>
      </c>
      <c r="W34" s="599">
        <v>0.6</v>
      </c>
      <c r="X34" s="599">
        <v>0.9</v>
      </c>
      <c r="Y34" s="599">
        <v>1</v>
      </c>
      <c r="Z34" s="600"/>
      <c r="AA34" s="600"/>
      <c r="AB34" s="597" t="s">
        <v>53</v>
      </c>
      <c r="AC34" s="598">
        <v>0</v>
      </c>
      <c r="AD34" s="599">
        <v>0.2</v>
      </c>
      <c r="AE34" s="599">
        <v>0.4</v>
      </c>
      <c r="AF34" s="599">
        <v>0.6</v>
      </c>
      <c r="AG34" s="599">
        <v>0.8</v>
      </c>
      <c r="AH34" s="600"/>
      <c r="AI34" s="600"/>
      <c r="AJ34" s="600"/>
      <c r="AK34" s="601"/>
      <c r="AL34" s="601"/>
    </row>
    <row r="35" spans="1:38" ht="107.25" customHeight="1">
      <c r="A35" s="602">
        <v>1</v>
      </c>
      <c r="B35" s="308" t="str">
        <f>VLOOKUP(A35,Table1[],2,0)</f>
        <v>Indicator de impact</v>
      </c>
      <c r="C35" s="772" t="str">
        <f>VLOOKUP(A35,Table1[],4,0)</f>
        <v>TB I-3(M): Rata mortalităţii  - Numărul estimat de decese cauzate de TB (toate formele) pe an, la 100,000 persoane</v>
      </c>
      <c r="D35" s="772"/>
      <c r="E35" s="772"/>
      <c r="F35" s="265">
        <f t="shared" ref="F35:F58" si="0">HLOOKUP($R$3,Indicatori,A35*2,0)</f>
        <v>8.1999999999999993</v>
      </c>
      <c r="G35" s="265">
        <f t="shared" ref="G35:G58" si="1">HLOOKUP($R$3,Indicatori,A35*2+1,0)</f>
        <v>7.54</v>
      </c>
      <c r="H35" s="773">
        <f>+IF(ISERROR(G35/F35),0,F35/G35)</f>
        <v>1.0875331564986737</v>
      </c>
      <c r="I35" s="774"/>
      <c r="J35" s="774"/>
      <c r="K35" s="774"/>
      <c r="L35" s="775"/>
      <c r="M35" s="778" t="s">
        <v>512</v>
      </c>
      <c r="N35" s="789"/>
      <c r="O35" s="789"/>
      <c r="P35" s="789"/>
      <c r="Q35" s="789"/>
      <c r="R35" s="790"/>
      <c r="S35" s="587"/>
      <c r="T35" s="597" t="s">
        <v>54</v>
      </c>
      <c r="U35" s="603">
        <v>0.3</v>
      </c>
      <c r="V35" s="599">
        <v>0.6</v>
      </c>
      <c r="W35" s="599">
        <v>0.9</v>
      </c>
      <c r="X35" s="599">
        <v>1</v>
      </c>
      <c r="Y35" s="599">
        <v>2</v>
      </c>
      <c r="Z35" s="600"/>
      <c r="AA35" s="600"/>
      <c r="AB35" s="597" t="s">
        <v>54</v>
      </c>
      <c r="AC35" s="603">
        <v>0.2</v>
      </c>
      <c r="AD35" s="599">
        <v>0.4</v>
      </c>
      <c r="AE35" s="599">
        <v>0.6</v>
      </c>
      <c r="AF35" s="599">
        <v>0.8</v>
      </c>
      <c r="AG35" s="599">
        <v>1</v>
      </c>
      <c r="AH35" s="600"/>
      <c r="AI35" s="600"/>
      <c r="AJ35" s="600"/>
      <c r="AK35" s="601"/>
      <c r="AL35" s="601"/>
    </row>
    <row r="36" spans="1:38" ht="78" customHeight="1">
      <c r="A36" s="602">
        <v>2</v>
      </c>
      <c r="B36" s="308" t="str">
        <f>VLOOKUP(A36,Table1[],2,0)</f>
        <v>Indicator de impact</v>
      </c>
      <c r="C36" s="772" t="str">
        <f>VLOOKUP(A36,Table1[],4,0)</f>
        <v xml:space="preserve">TB I-4(M): Prevalența TB MDR printre cazurile noi de tuberculoză </v>
      </c>
      <c r="D36" s="772"/>
      <c r="E36" s="772"/>
      <c r="F36" s="418">
        <f t="shared" si="0"/>
        <v>0.24</v>
      </c>
      <c r="G36" s="418">
        <f t="shared" si="1"/>
        <v>0.27700000000000002</v>
      </c>
      <c r="H36" s="773">
        <f>+IF(ISERROR(F36/G36),0,F36/G36)</f>
        <v>0.86642599277978327</v>
      </c>
      <c r="I36" s="774"/>
      <c r="J36" s="774"/>
      <c r="K36" s="774"/>
      <c r="L36" s="775"/>
      <c r="M36" s="778" t="s">
        <v>513</v>
      </c>
      <c r="N36" s="791"/>
      <c r="O36" s="791"/>
      <c r="P36" s="791"/>
      <c r="Q36" s="791"/>
      <c r="R36" s="792"/>
      <c r="S36" s="587"/>
      <c r="T36" s="604"/>
      <c r="U36" s="605" t="str">
        <f>"de "&amp;U34&amp;" a "&amp;U35</f>
        <v>de 0 a 0,3</v>
      </c>
      <c r="V36" s="605" t="str">
        <f>"de "&amp;V34&amp;" a "&amp;V35</f>
        <v>de 0,3 a 0,6</v>
      </c>
      <c r="W36" s="605" t="str">
        <f>"de "&amp;W34&amp;" a "&amp;W35</f>
        <v>de 0,6 a 0,9</v>
      </c>
      <c r="X36" s="605" t="str">
        <f>"de "&amp;X34&amp;" a "&amp;X35</f>
        <v>de 0,9 a 1</v>
      </c>
      <c r="Y36" s="605" t="str">
        <f>"de "&amp;Y34&amp;" a "&amp;Y35</f>
        <v>de 1 a 2</v>
      </c>
      <c r="Z36" s="600"/>
      <c r="AA36" s="600" t="s">
        <v>213</v>
      </c>
      <c r="AB36" s="604" t="s">
        <v>212</v>
      </c>
      <c r="AC36" s="605" t="str">
        <f>"de "&amp;AC34&amp;" a "&amp;AC35</f>
        <v>de 0 a 0,2</v>
      </c>
      <c r="AD36" s="605" t="str">
        <f>"de "&amp;AD34&amp;" a "&amp;AD35</f>
        <v>de 0,2 a 0,4</v>
      </c>
      <c r="AE36" s="605" t="str">
        <f>"de "&amp;AE34&amp;" a "&amp;AE35</f>
        <v>de 0,4 a 0,6</v>
      </c>
      <c r="AF36" s="605" t="str">
        <f>"de "&amp;AF34&amp;" a "&amp;AF35</f>
        <v>de 0,6 a 0,8</v>
      </c>
      <c r="AG36" s="605" t="str">
        <f>"de "&amp;AG34&amp;" a "&amp;AG35</f>
        <v>de 0,8 a 1</v>
      </c>
      <c r="AH36" s="600"/>
      <c r="AI36" s="600"/>
      <c r="AJ36" s="600"/>
      <c r="AK36" s="601"/>
      <c r="AL36" s="601"/>
    </row>
    <row r="37" spans="1:38" ht="57.75" customHeight="1">
      <c r="A37" s="602">
        <v>3</v>
      </c>
      <c r="B37" s="308" t="str">
        <f>VLOOKUP(A37,Table1[],2,0)</f>
        <v>Indicator de impact</v>
      </c>
      <c r="C37" s="772" t="str">
        <f>VLOOKUP(A37,Table1[],4,0)</f>
        <v>HIV I-4: Mortalitatea asociată cu SIDA la 100,000 populaţie</v>
      </c>
      <c r="D37" s="772"/>
      <c r="E37" s="772"/>
      <c r="F37" s="418">
        <f t="shared" si="0"/>
        <v>3.7999999999999999E-2</v>
      </c>
      <c r="G37" s="418">
        <f t="shared" si="1"/>
        <v>4.2700000000000002E-2</v>
      </c>
      <c r="H37" s="773">
        <f>+IF(ISERROR(G37/F37),0,F37/G37)</f>
        <v>0.88992974238875877</v>
      </c>
      <c r="I37" s="774"/>
      <c r="J37" s="774"/>
      <c r="K37" s="774"/>
      <c r="L37" s="775"/>
      <c r="M37" s="778" t="s">
        <v>527</v>
      </c>
      <c r="N37" s="779"/>
      <c r="O37" s="779"/>
      <c r="P37" s="779"/>
      <c r="Q37" s="779"/>
      <c r="R37" s="780"/>
      <c r="S37" s="587"/>
      <c r="T37" s="604"/>
      <c r="U37" s="599" t="e">
        <f t="shared" ref="U37:X53" si="2">IF($L35&gt;U$34,IF($L35&lt;=U$35,$L35,NA()),NA())</f>
        <v>#N/A</v>
      </c>
      <c r="V37" s="599" t="e">
        <f t="shared" si="2"/>
        <v>#N/A</v>
      </c>
      <c r="W37" s="599" t="e">
        <f t="shared" si="2"/>
        <v>#N/A</v>
      </c>
      <c r="X37" s="599" t="e">
        <f t="shared" si="2"/>
        <v>#N/A</v>
      </c>
      <c r="Y37" s="599" t="e">
        <f>IF($L35&gt;Y$34,IF($L35&lt;=Y$35,1,NA()),NA())</f>
        <v>#N/A</v>
      </c>
      <c r="Z37" s="600"/>
      <c r="AA37" s="606" t="e">
        <f>+'Detail despre Grant'!#REF!</f>
        <v>#REF!</v>
      </c>
      <c r="AB37" s="599" t="e">
        <f>+IF(AA37="A1",1,IF(AA37="A2",0.8,IF(AA37="B1",0.6,IF(AA37="B2",0.4,0.2))))</f>
        <v>#REF!</v>
      </c>
      <c r="AC37" s="599" t="e">
        <f>IF($AB37&gt;AC$34,IF($AB37&lt;=AC$35,$AB37,NA()),NA())</f>
        <v>#REF!</v>
      </c>
      <c r="AD37" s="599" t="e">
        <f t="shared" ref="AD37:AG47" si="3">IF($AB37&gt;AD$34,IF($AB37&lt;=AD$35,$AB37,NA()),NA())</f>
        <v>#REF!</v>
      </c>
      <c r="AE37" s="599" t="e">
        <f t="shared" si="3"/>
        <v>#REF!</v>
      </c>
      <c r="AF37" s="599" t="e">
        <f t="shared" si="3"/>
        <v>#REF!</v>
      </c>
      <c r="AG37" s="599" t="e">
        <f t="shared" si="3"/>
        <v>#REF!</v>
      </c>
      <c r="AH37" s="600"/>
      <c r="AI37" s="600"/>
      <c r="AJ37" s="600"/>
      <c r="AK37" s="601"/>
      <c r="AL37" s="601"/>
    </row>
    <row r="38" spans="1:38" ht="43.5" customHeight="1">
      <c r="A38" s="602">
        <v>4</v>
      </c>
      <c r="B38" s="308" t="str">
        <f>VLOOKUP(A38,Table1[],2,0)</f>
        <v>Indicator de impact</v>
      </c>
      <c r="C38" s="772" t="str">
        <f>VLOOKUP(A38,Table1[],4,0)</f>
        <v xml:space="preserve">HIV I-9a (M): Procentul BSB care trăiesc cu HIV </v>
      </c>
      <c r="D38" s="772"/>
      <c r="E38" s="772"/>
      <c r="F38" s="418" t="str">
        <f t="shared" si="0"/>
        <v>n/a</v>
      </c>
      <c r="G38" s="418" t="str">
        <f t="shared" si="1"/>
        <v>n/a</v>
      </c>
      <c r="H38" s="773">
        <f>+IF(ISERROR(F38/G38),0,G38/F38)</f>
        <v>0</v>
      </c>
      <c r="I38" s="774"/>
      <c r="J38" s="774"/>
      <c r="K38" s="774"/>
      <c r="L38" s="775"/>
      <c r="M38" s="778" t="s">
        <v>507</v>
      </c>
      <c r="N38" s="779"/>
      <c r="O38" s="779"/>
      <c r="P38" s="779"/>
      <c r="Q38" s="779"/>
      <c r="R38" s="780"/>
      <c r="S38" s="587"/>
      <c r="T38" s="604"/>
      <c r="U38" s="599"/>
      <c r="V38" s="599"/>
      <c r="W38" s="599"/>
      <c r="X38" s="599"/>
      <c r="Y38" s="599"/>
      <c r="Z38" s="600"/>
      <c r="AA38" s="606"/>
      <c r="AB38" s="599"/>
      <c r="AC38" s="599"/>
      <c r="AD38" s="599"/>
      <c r="AE38" s="599"/>
      <c r="AF38" s="599"/>
      <c r="AG38" s="599"/>
      <c r="AH38" s="600"/>
      <c r="AI38" s="600"/>
      <c r="AJ38" s="600"/>
      <c r="AK38" s="601"/>
      <c r="AL38" s="601"/>
    </row>
    <row r="39" spans="1:38" ht="43.5" customHeight="1">
      <c r="A39" s="602">
        <v>5</v>
      </c>
      <c r="B39" s="308" t="str">
        <f>VLOOKUP(A39,Table1[],2,0)</f>
        <v>Indicator de impact</v>
      </c>
      <c r="C39" s="772" t="str">
        <f>VLOOKUP(A39,Table1[],4,0)</f>
        <v>HIV I-10 (M): Procentul LSC care trăiesc cu HIV</v>
      </c>
      <c r="D39" s="772"/>
      <c r="E39" s="772"/>
      <c r="F39" s="418" t="str">
        <f t="shared" si="0"/>
        <v>n/a</v>
      </c>
      <c r="G39" s="418" t="str">
        <f t="shared" si="1"/>
        <v>n/a</v>
      </c>
      <c r="H39" s="773">
        <f t="shared" ref="H39:H45" si="4">+IF(ISERROR(F39/G39),0,G39/F39)</f>
        <v>0</v>
      </c>
      <c r="I39" s="774"/>
      <c r="J39" s="774"/>
      <c r="K39" s="774"/>
      <c r="L39" s="775"/>
      <c r="M39" s="778" t="s">
        <v>507</v>
      </c>
      <c r="N39" s="779"/>
      <c r="O39" s="779"/>
      <c r="P39" s="779"/>
      <c r="Q39" s="779"/>
      <c r="R39" s="780"/>
      <c r="S39" s="587"/>
      <c r="T39" s="604"/>
      <c r="U39" s="599"/>
      <c r="V39" s="599"/>
      <c r="W39" s="599"/>
      <c r="X39" s="599"/>
      <c r="Y39" s="599"/>
      <c r="Z39" s="600"/>
      <c r="AA39" s="606"/>
      <c r="AB39" s="599"/>
      <c r="AC39" s="599"/>
      <c r="AD39" s="599"/>
      <c r="AE39" s="599"/>
      <c r="AF39" s="599"/>
      <c r="AG39" s="599"/>
      <c r="AH39" s="600"/>
      <c r="AI39" s="600"/>
      <c r="AJ39" s="600"/>
      <c r="AK39" s="601"/>
      <c r="AL39" s="601"/>
    </row>
    <row r="40" spans="1:38" ht="43.5" customHeight="1">
      <c r="A40" s="602">
        <v>6</v>
      </c>
      <c r="B40" s="308" t="str">
        <f>VLOOKUP(A40,Table1[],2,0)</f>
        <v>Indicator de impact</v>
      </c>
      <c r="C40" s="772" t="str">
        <f>VLOOKUP(A40,Table1[],4,0)</f>
        <v>HIV I-11 (M): Procentul consumatorilor de droguri injectabile care trăiesc cu HIV</v>
      </c>
      <c r="D40" s="772"/>
      <c r="E40" s="772"/>
      <c r="F40" s="418" t="str">
        <f t="shared" si="0"/>
        <v>n/a</v>
      </c>
      <c r="G40" s="418" t="str">
        <f t="shared" si="1"/>
        <v>n/a</v>
      </c>
      <c r="H40" s="773">
        <f t="shared" si="4"/>
        <v>0</v>
      </c>
      <c r="I40" s="774"/>
      <c r="J40" s="774"/>
      <c r="K40" s="774"/>
      <c r="L40" s="775"/>
      <c r="M40" s="778" t="s">
        <v>507</v>
      </c>
      <c r="N40" s="779"/>
      <c r="O40" s="779"/>
      <c r="P40" s="779"/>
      <c r="Q40" s="779"/>
      <c r="R40" s="780"/>
      <c r="S40" s="587"/>
      <c r="T40" s="604"/>
      <c r="U40" s="599"/>
      <c r="V40" s="599"/>
      <c r="W40" s="599"/>
      <c r="X40" s="599"/>
      <c r="Y40" s="599"/>
      <c r="Z40" s="600"/>
      <c r="AA40" s="606"/>
      <c r="AB40" s="599"/>
      <c r="AC40" s="599"/>
      <c r="AD40" s="599"/>
      <c r="AE40" s="599"/>
      <c r="AF40" s="599"/>
      <c r="AG40" s="599"/>
      <c r="AH40" s="600"/>
      <c r="AI40" s="600"/>
      <c r="AJ40" s="600"/>
      <c r="AK40" s="601"/>
      <c r="AL40" s="601"/>
    </row>
    <row r="41" spans="1:38" ht="113.25" customHeight="1">
      <c r="A41" s="602">
        <v>7</v>
      </c>
      <c r="B41" s="308" t="str">
        <f>VLOOKUP(A41,Table1[],2,0)</f>
        <v>Indicator de rezultat</v>
      </c>
      <c r="C41" s="772" t="str">
        <f>VLOOKUP(A41,Table1[],4,0)</f>
        <v xml:space="preserve">TB O-4(M): Rata succesului tratamentului pacienților cu RR TB și/sau MDR-TB </v>
      </c>
      <c r="D41" s="772"/>
      <c r="E41" s="772"/>
      <c r="F41" s="417">
        <f t="shared" si="0"/>
        <v>0.6804</v>
      </c>
      <c r="G41" s="417">
        <f t="shared" si="1"/>
        <v>0.52659999999999996</v>
      </c>
      <c r="H41" s="773">
        <f>+IF(ISERROR(F41/G41),0,G41/F41)</f>
        <v>0.77395649617871831</v>
      </c>
      <c r="I41" s="774"/>
      <c r="J41" s="774"/>
      <c r="K41" s="774"/>
      <c r="L41" s="775"/>
      <c r="M41" s="778" t="s">
        <v>514</v>
      </c>
      <c r="N41" s="779"/>
      <c r="O41" s="779"/>
      <c r="P41" s="779"/>
      <c r="Q41" s="779"/>
      <c r="R41" s="780"/>
      <c r="S41" s="587"/>
      <c r="T41" s="607"/>
      <c r="U41" s="599"/>
      <c r="V41" s="599"/>
      <c r="W41" s="599"/>
      <c r="X41" s="599"/>
      <c r="Y41" s="599"/>
      <c r="Z41" s="600"/>
      <c r="AA41" s="606"/>
      <c r="AB41" s="599"/>
      <c r="AC41" s="599"/>
      <c r="AD41" s="599"/>
      <c r="AE41" s="599"/>
      <c r="AF41" s="599"/>
      <c r="AG41" s="608"/>
      <c r="AH41" s="17"/>
      <c r="AI41" s="17"/>
      <c r="AJ41" s="17"/>
    </row>
    <row r="42" spans="1:38" ht="102.75" customHeight="1">
      <c r="A42" s="602">
        <v>8</v>
      </c>
      <c r="B42" s="308" t="str">
        <f>VLOOKUP(A42,Table1[],2,0)</f>
        <v>Indicator de rezultat</v>
      </c>
      <c r="C42" s="772" t="str">
        <f>VLOOKUP(A42,Table1[],4,0)</f>
        <v>TB O-1a: Rata de notificare a cazurilor de tuberculoză (toate formele) per 100,000 populație</v>
      </c>
      <c r="D42" s="772"/>
      <c r="E42" s="772"/>
      <c r="F42" s="265">
        <f t="shared" si="0"/>
        <v>96</v>
      </c>
      <c r="G42" s="265">
        <f t="shared" si="1"/>
        <v>75.150000000000006</v>
      </c>
      <c r="H42" s="773">
        <f>+IF(ISERROR(G42/F42),0,F42/G42)</f>
        <v>1.2774451097804391</v>
      </c>
      <c r="I42" s="774"/>
      <c r="J42" s="774"/>
      <c r="K42" s="774"/>
      <c r="L42" s="775"/>
      <c r="M42" s="803" t="s">
        <v>515</v>
      </c>
      <c r="N42" s="779"/>
      <c r="O42" s="779"/>
      <c r="P42" s="779"/>
      <c r="Q42" s="779"/>
      <c r="R42" s="780"/>
      <c r="S42" s="587"/>
      <c r="T42" s="607"/>
      <c r="U42" s="599"/>
      <c r="V42" s="599"/>
      <c r="W42" s="599"/>
      <c r="X42" s="599"/>
      <c r="Y42" s="599"/>
      <c r="Z42" s="600"/>
      <c r="AA42" s="606"/>
      <c r="AB42" s="599"/>
      <c r="AC42" s="599"/>
      <c r="AD42" s="599"/>
      <c r="AE42" s="599"/>
      <c r="AF42" s="599"/>
      <c r="AG42" s="608"/>
      <c r="AH42" s="17"/>
      <c r="AI42" s="17"/>
      <c r="AJ42" s="17"/>
    </row>
    <row r="43" spans="1:38" ht="61.5" customHeight="1">
      <c r="A43" s="602">
        <v>9</v>
      </c>
      <c r="B43" s="308" t="str">
        <f>VLOOKUP(A43,Table1[],2,0)</f>
        <v>Indicator de rezultat</v>
      </c>
      <c r="C43" s="772" t="str">
        <f>VLOOKUP(A43,Table1[],4,0)</f>
        <v>TB O-5(M): Rata de acoperire cu tratament antituberculos</v>
      </c>
      <c r="D43" s="772"/>
      <c r="E43" s="772"/>
      <c r="F43" s="417">
        <f t="shared" si="0"/>
        <v>0.87</v>
      </c>
      <c r="G43" s="417">
        <f t="shared" si="1"/>
        <v>0.86250000000000004</v>
      </c>
      <c r="H43" s="773">
        <f t="shared" si="4"/>
        <v>0.99137931034482762</v>
      </c>
      <c r="I43" s="774"/>
      <c r="J43" s="774"/>
      <c r="K43" s="774"/>
      <c r="L43" s="775"/>
      <c r="M43" s="778" t="s">
        <v>533</v>
      </c>
      <c r="N43" s="779"/>
      <c r="O43" s="779"/>
      <c r="P43" s="779"/>
      <c r="Q43" s="779"/>
      <c r="R43" s="780"/>
      <c r="S43" s="587"/>
      <c r="T43" s="607"/>
      <c r="U43" s="599"/>
      <c r="V43" s="599"/>
      <c r="W43" s="599"/>
      <c r="X43" s="599"/>
      <c r="Y43" s="599"/>
      <c r="Z43" s="600"/>
      <c r="AA43" s="606"/>
      <c r="AB43" s="599"/>
      <c r="AC43" s="599"/>
      <c r="AD43" s="599"/>
      <c r="AE43" s="599"/>
      <c r="AF43" s="599"/>
      <c r="AG43" s="608"/>
      <c r="AH43" s="17"/>
      <c r="AI43" s="17"/>
      <c r="AJ43" s="17"/>
    </row>
    <row r="44" spans="1:38" ht="108" customHeight="1">
      <c r="A44" s="602">
        <v>10</v>
      </c>
      <c r="B44" s="308" t="str">
        <f>VLOOKUP(A44,Table1[],2,0)</f>
        <v>Indicator de rezultat</v>
      </c>
      <c r="C44" s="772" t="str">
        <f>VLOOKUP(A44,Table1[],4,0)</f>
        <v xml:space="preserve">HIV O-1 (M): Procentul adulţilor şi copiilor HIV infectaţi care se află în tratament 12 luni după iniţierea tratamentului antiretroviral </v>
      </c>
      <c r="D44" s="772"/>
      <c r="E44" s="772"/>
      <c r="F44" s="417">
        <f t="shared" si="0"/>
        <v>0.84</v>
      </c>
      <c r="G44" s="417">
        <f t="shared" si="1"/>
        <v>0.86799999999999999</v>
      </c>
      <c r="H44" s="773">
        <f t="shared" si="4"/>
        <v>1.0333333333333334</v>
      </c>
      <c r="I44" s="774"/>
      <c r="J44" s="774"/>
      <c r="K44" s="774"/>
      <c r="L44" s="775"/>
      <c r="M44" s="778" t="s">
        <v>535</v>
      </c>
      <c r="N44" s="779"/>
      <c r="O44" s="779"/>
      <c r="P44" s="779"/>
      <c r="Q44" s="779"/>
      <c r="R44" s="780"/>
      <c r="S44" s="587"/>
      <c r="T44" s="607"/>
      <c r="U44" s="599"/>
      <c r="V44" s="599"/>
      <c r="W44" s="599"/>
      <c r="X44" s="599"/>
      <c r="Y44" s="599"/>
      <c r="Z44" s="600"/>
      <c r="AA44" s="606"/>
      <c r="AB44" s="599"/>
      <c r="AC44" s="599"/>
      <c r="AD44" s="599"/>
      <c r="AE44" s="599"/>
      <c r="AF44" s="599"/>
      <c r="AG44" s="608"/>
      <c r="AH44" s="17"/>
      <c r="AI44" s="17"/>
      <c r="AJ44" s="17"/>
    </row>
    <row r="45" spans="1:38" ht="43.5" customHeight="1">
      <c r="A45" s="602">
        <v>11</v>
      </c>
      <c r="B45" s="308" t="str">
        <f>VLOOKUP(A45,Table1[],2,0)</f>
        <v>Indicator de rezultat</v>
      </c>
      <c r="C45" s="772" t="str">
        <f>VLOOKUP(A45,Table1[],4,0)</f>
        <v>HIV O-4a (M): Procentul BSB care raportează utilizarea prezervativului în timpul ultimului act de sex anal cu partenerul de gen masculin</v>
      </c>
      <c r="D45" s="772"/>
      <c r="E45" s="772"/>
      <c r="F45" s="417" t="str">
        <f t="shared" si="0"/>
        <v>n/a</v>
      </c>
      <c r="G45" s="417" t="str">
        <f t="shared" si="1"/>
        <v>n/a</v>
      </c>
      <c r="H45" s="773">
        <f t="shared" si="4"/>
        <v>0</v>
      </c>
      <c r="I45" s="774"/>
      <c r="J45" s="774"/>
      <c r="K45" s="774"/>
      <c r="L45" s="775"/>
      <c r="M45" s="778" t="s">
        <v>507</v>
      </c>
      <c r="N45" s="779"/>
      <c r="O45" s="779"/>
      <c r="P45" s="779"/>
      <c r="Q45" s="779"/>
      <c r="R45" s="780"/>
      <c r="S45" s="587"/>
      <c r="T45" s="607"/>
      <c r="U45" s="599"/>
      <c r="V45" s="599"/>
      <c r="W45" s="599"/>
      <c r="X45" s="599"/>
      <c r="Y45" s="599"/>
      <c r="Z45" s="600"/>
      <c r="AA45" s="606"/>
      <c r="AB45" s="599"/>
      <c r="AC45" s="599"/>
      <c r="AD45" s="599"/>
      <c r="AE45" s="599"/>
      <c r="AF45" s="599"/>
      <c r="AG45" s="608"/>
      <c r="AH45" s="17"/>
      <c r="AI45" s="17"/>
      <c r="AJ45" s="17"/>
    </row>
    <row r="46" spans="1:38" ht="43.5" customHeight="1">
      <c r="A46" s="602">
        <v>12</v>
      </c>
      <c r="B46" s="308" t="str">
        <f>VLOOKUP(A46,Table1[],2,0)</f>
        <v>Indicator de rezultat</v>
      </c>
      <c r="C46" s="772" t="str">
        <f>VLOOKUP(A46,Table1[],4,0)</f>
        <v>HIV O-5 (M): Procentul LSC care raportează utilizarea prezervativului cu ultimul lor client</v>
      </c>
      <c r="D46" s="772"/>
      <c r="E46" s="772"/>
      <c r="F46" s="417" t="str">
        <f t="shared" si="0"/>
        <v>n/a</v>
      </c>
      <c r="G46" s="417" t="str">
        <f t="shared" si="1"/>
        <v>n/a</v>
      </c>
      <c r="H46" s="773">
        <f>+IF(ISERROR(G46/F46),0,G46/F46)</f>
        <v>0</v>
      </c>
      <c r="I46" s="774"/>
      <c r="J46" s="774"/>
      <c r="K46" s="774"/>
      <c r="L46" s="775"/>
      <c r="M46" s="778" t="s">
        <v>507</v>
      </c>
      <c r="N46" s="779"/>
      <c r="O46" s="779"/>
      <c r="P46" s="779"/>
      <c r="Q46" s="779"/>
      <c r="R46" s="780"/>
      <c r="S46" s="587"/>
      <c r="T46" s="607"/>
      <c r="U46" s="599" t="e">
        <f t="shared" ref="U46:X47" si="5">IF($L36&gt;U$34,IF($L36&lt;=U$35,$L36,NA()),NA())</f>
        <v>#N/A</v>
      </c>
      <c r="V46" s="599" t="e">
        <f t="shared" si="5"/>
        <v>#N/A</v>
      </c>
      <c r="W46" s="599" t="e">
        <f t="shared" si="5"/>
        <v>#N/A</v>
      </c>
      <c r="X46" s="599" t="e">
        <f t="shared" si="5"/>
        <v>#N/A</v>
      </c>
      <c r="Y46" s="599" t="e">
        <f>IF($L36&gt;Y$34,IF($L36&lt;=Y$35,1,1),NA())</f>
        <v>#N/A</v>
      </c>
      <c r="Z46" s="600"/>
      <c r="AA46" s="606" t="e">
        <f>+'Detail despre Grant'!#REF!</f>
        <v>#REF!</v>
      </c>
      <c r="AB46" s="599" t="e">
        <f>+IF(AA46="A1",1,IF(AA46="A2",0.8,IF(AA46="B1",0.6,IF(AA46="B2",0.4,0.2))))</f>
        <v>#REF!</v>
      </c>
      <c r="AC46" s="599" t="e">
        <f>IF($AB46&gt;AC$34,IF($AB46&lt;=AC$35,$AB46,NA()),NA())</f>
        <v>#REF!</v>
      </c>
      <c r="AD46" s="599" t="e">
        <f t="shared" si="3"/>
        <v>#REF!</v>
      </c>
      <c r="AE46" s="599" t="e">
        <f t="shared" si="3"/>
        <v>#REF!</v>
      </c>
      <c r="AF46" s="599" t="e">
        <f t="shared" si="3"/>
        <v>#REF!</v>
      </c>
      <c r="AG46" s="608" t="e">
        <f t="shared" si="3"/>
        <v>#REF!</v>
      </c>
      <c r="AH46" s="17"/>
      <c r="AI46" s="17"/>
      <c r="AJ46" s="17"/>
    </row>
    <row r="47" spans="1:38" ht="43.5" customHeight="1">
      <c r="A47" s="602">
        <v>13</v>
      </c>
      <c r="B47" s="308" t="str">
        <f>VLOOKUP(A47,Table1[],2,0)</f>
        <v>Indicator de rezultat</v>
      </c>
      <c r="C47" s="772" t="str">
        <f>VLOOKUP(A47,Table1[],4,0)</f>
        <v>HIV O-6 (M): Procentul consumatorilor de droguri injectabile care raportează utilizarea setului pentru injectare steril la ultima injectare</v>
      </c>
      <c r="D47" s="772"/>
      <c r="E47" s="772"/>
      <c r="F47" s="417" t="str">
        <f t="shared" si="0"/>
        <v>n/a</v>
      </c>
      <c r="G47" s="417" t="str">
        <f t="shared" si="1"/>
        <v>n/a</v>
      </c>
      <c r="H47" s="773">
        <f>+IF(ISERROR(G47/F47),0,G47/F47)</f>
        <v>0</v>
      </c>
      <c r="I47" s="774"/>
      <c r="J47" s="774"/>
      <c r="K47" s="774"/>
      <c r="L47" s="775"/>
      <c r="M47" s="778" t="s">
        <v>507</v>
      </c>
      <c r="N47" s="779"/>
      <c r="O47" s="779"/>
      <c r="P47" s="779"/>
      <c r="Q47" s="779"/>
      <c r="R47" s="780"/>
      <c r="S47" s="587"/>
      <c r="T47" s="607"/>
      <c r="U47" s="599" t="e">
        <f t="shared" si="5"/>
        <v>#N/A</v>
      </c>
      <c r="V47" s="599" t="e">
        <f t="shared" si="5"/>
        <v>#N/A</v>
      </c>
      <c r="W47" s="599" t="e">
        <f t="shared" si="5"/>
        <v>#N/A</v>
      </c>
      <c r="X47" s="599" t="e">
        <f t="shared" si="5"/>
        <v>#N/A</v>
      </c>
      <c r="Y47" s="599" t="e">
        <f>IF($L37&gt;Y$34,IF($L37&lt;=Y$35,1,NA()),NA())</f>
        <v>#N/A</v>
      </c>
      <c r="Z47" s="600"/>
      <c r="AA47" s="606" t="e">
        <f>+'Detail despre Grant'!#REF!</f>
        <v>#REF!</v>
      </c>
      <c r="AB47" s="599" t="e">
        <f>+IF(AA47="A1",1,IF(AA47="A2",0.8,IF(AA47="B1",0.6,IF(AA47="B2",0.4,0.2))))</f>
        <v>#REF!</v>
      </c>
      <c r="AC47" s="599" t="e">
        <f>IF($AB47&gt;AC$34,IF($AB47&lt;=AC$35,$AB47,NA()),NA())</f>
        <v>#REF!</v>
      </c>
      <c r="AD47" s="599" t="e">
        <f t="shared" si="3"/>
        <v>#REF!</v>
      </c>
      <c r="AE47" s="599" t="e">
        <f t="shared" si="3"/>
        <v>#REF!</v>
      </c>
      <c r="AF47" s="599" t="e">
        <f t="shared" si="3"/>
        <v>#REF!</v>
      </c>
      <c r="AG47" s="608" t="e">
        <f t="shared" si="3"/>
        <v>#REF!</v>
      </c>
      <c r="AH47" s="17"/>
      <c r="AI47" s="17"/>
      <c r="AJ47" s="17"/>
    </row>
    <row r="48" spans="1:38" ht="43.5" customHeight="1">
      <c r="A48" s="602">
        <v>14</v>
      </c>
      <c r="B48" s="308" t="str">
        <f>VLOOKUP(A48,Table1[],2,0)</f>
        <v>Indicator de proces</v>
      </c>
      <c r="C48" s="772" t="str">
        <f>VLOOKUP(A48,Table1[],4,0)</f>
        <v>MDR TB-2(M): Numărul cazurilor de TB DR (RR-TB și/sau MDR-TB), confirmate bacteriologic, notificate</v>
      </c>
      <c r="D48" s="772"/>
      <c r="E48" s="772"/>
      <c r="F48" s="265">
        <f t="shared" si="0"/>
        <v>512</v>
      </c>
      <c r="G48" s="265">
        <f t="shared" si="1"/>
        <v>348</v>
      </c>
      <c r="H48" s="773">
        <f>+IF(ISERROR(G48/F48),0,G48/F48)</f>
        <v>0.6796875</v>
      </c>
      <c r="I48" s="774"/>
      <c r="J48" s="774"/>
      <c r="K48" s="774"/>
      <c r="L48" s="775"/>
      <c r="M48" s="776" t="s">
        <v>516</v>
      </c>
      <c r="N48" s="788"/>
      <c r="O48" s="788"/>
      <c r="P48" s="788"/>
      <c r="Q48" s="788"/>
      <c r="R48" s="788"/>
      <c r="S48" s="587"/>
      <c r="T48" s="607"/>
      <c r="U48" s="599"/>
      <c r="V48" s="599"/>
      <c r="W48" s="599"/>
      <c r="X48" s="599"/>
      <c r="Y48" s="599"/>
      <c r="Z48" s="600"/>
      <c r="AA48" s="600"/>
      <c r="AB48" s="600"/>
      <c r="AC48" s="600"/>
      <c r="AD48" s="600"/>
      <c r="AE48" s="600"/>
      <c r="AF48" s="600"/>
      <c r="AG48" s="5"/>
      <c r="AH48" s="17"/>
      <c r="AI48" s="17"/>
      <c r="AJ48" s="17"/>
    </row>
    <row r="49" spans="1:36" ht="55.5" customHeight="1">
      <c r="A49" s="602">
        <v>15</v>
      </c>
      <c r="B49" s="308" t="str">
        <f>VLOOKUP(A49,Table1[],2,0)</f>
        <v>Indicator de proces</v>
      </c>
      <c r="C49" s="772" t="str">
        <f>VLOOKUP(A49,Table1[],4,0)</f>
        <v xml:space="preserve">MDR TB-3(M): Numărul cazurilor cu tuberculoză drog-rezistentă (RR-TB și/sau MDR-TB), confirmate bacteriologic, care au demarat tratamentul DOTS-Plus în perioada raportată                </v>
      </c>
      <c r="D49" s="772"/>
      <c r="E49" s="772"/>
      <c r="F49" s="265">
        <f t="shared" si="0"/>
        <v>507</v>
      </c>
      <c r="G49" s="265">
        <f t="shared" si="1"/>
        <v>443</v>
      </c>
      <c r="H49" s="773">
        <f>+IF(ISERROR(G49/F49),0,G49/F49)</f>
        <v>0.87376725838264302</v>
      </c>
      <c r="I49" s="774"/>
      <c r="J49" s="774"/>
      <c r="K49" s="774"/>
      <c r="L49" s="775"/>
      <c r="M49" s="776" t="s">
        <v>517</v>
      </c>
      <c r="N49" s="777"/>
      <c r="O49" s="777"/>
      <c r="P49" s="777"/>
      <c r="Q49" s="777"/>
      <c r="R49" s="777"/>
      <c r="S49" s="587"/>
      <c r="T49" s="607"/>
      <c r="U49" s="599" t="e">
        <f>IF($L47&gt;U$34,IF($L47&lt;=U$35,$L47,NA()),NA())</f>
        <v>#N/A</v>
      </c>
      <c r="V49" s="599" t="e">
        <f>IF($L47&gt;V$34,IF($L47&lt;=V$35,$L47,NA()),NA())</f>
        <v>#N/A</v>
      </c>
      <c r="W49" s="599" t="e">
        <f>IF($L47&gt;W$34,IF($L47&lt;=W$35,$L47,NA()),NA())</f>
        <v>#N/A</v>
      </c>
      <c r="X49" s="599" t="e">
        <f>IF($L47&gt;X$34,IF($L47&lt;=X$35,$L47,NA()),NA())</f>
        <v>#N/A</v>
      </c>
      <c r="Y49" s="599" t="e">
        <f>IF($L47&gt;Y$34,IF($L47&lt;=Y$35,1,NA()),NA())</f>
        <v>#N/A</v>
      </c>
      <c r="Z49" s="600"/>
      <c r="AA49" s="600"/>
      <c r="AB49" s="600"/>
      <c r="AC49" s="600"/>
      <c r="AD49" s="600"/>
      <c r="AE49" s="600"/>
      <c r="AF49" s="600"/>
      <c r="AG49" s="5"/>
      <c r="AH49" s="17"/>
      <c r="AI49" s="17"/>
      <c r="AJ49" s="17"/>
    </row>
    <row r="50" spans="1:36" ht="80.25" customHeight="1">
      <c r="A50" s="602">
        <v>16</v>
      </c>
      <c r="B50" s="308" t="str">
        <f>VLOOKUP(A50,Table1[],2,0)</f>
        <v>Indicator de proces</v>
      </c>
      <c r="C50" s="772" t="str">
        <f>VLOOKUP(A50,Table1[],4,0)</f>
        <v>MDR TB-4: Rezultatul interimar de abandon al tratamentului cazurilor MDR-TB</v>
      </c>
      <c r="D50" s="772"/>
      <c r="E50" s="772"/>
      <c r="F50" s="417">
        <f t="shared" si="0"/>
        <v>7.5999999999999998E-2</v>
      </c>
      <c r="G50" s="417">
        <f t="shared" si="1"/>
        <v>8.8300000000000003E-2</v>
      </c>
      <c r="H50" s="773">
        <f>+IF(ISERROR(G50/F50),0,F50/G50)</f>
        <v>0.86070215175537934</v>
      </c>
      <c r="I50" s="774"/>
      <c r="J50" s="774"/>
      <c r="K50" s="774"/>
      <c r="L50" s="775"/>
      <c r="M50" s="776" t="s">
        <v>518</v>
      </c>
      <c r="N50" s="777"/>
      <c r="O50" s="777"/>
      <c r="P50" s="777"/>
      <c r="Q50" s="777"/>
      <c r="R50" s="777"/>
      <c r="S50" s="587"/>
      <c r="T50" s="607"/>
      <c r="U50" s="599" t="e">
        <f>IF(#REF!&gt;U$34,IF(#REF!&lt;=U$35,#REF!,NA()),NA())</f>
        <v>#REF!</v>
      </c>
      <c r="V50" s="599" t="e">
        <f>IF(#REF!&gt;V$34,IF(#REF!&lt;=V$35,#REF!,NA()),NA())</f>
        <v>#REF!</v>
      </c>
      <c r="W50" s="599" t="e">
        <f>IF(#REF!&gt;W$34,IF(#REF!&lt;=W$35,#REF!,NA()),NA())</f>
        <v>#REF!</v>
      </c>
      <c r="X50" s="599" t="e">
        <f>IF(#REF!&gt;X$34,IF(#REF!&lt;=X$35,#REF!,NA()),NA())</f>
        <v>#REF!</v>
      </c>
      <c r="Y50" s="599" t="e">
        <f>IF(#REF!&gt;Y$34,IF(#REF!&lt;=Y$35,1,NA()),NA())</f>
        <v>#REF!</v>
      </c>
      <c r="Z50" s="600"/>
      <c r="AA50" s="600"/>
      <c r="AB50" s="600"/>
      <c r="AC50" s="600"/>
      <c r="AD50" s="600"/>
      <c r="AE50" s="600"/>
      <c r="AF50" s="600"/>
      <c r="AG50" s="5"/>
      <c r="AH50" s="17"/>
      <c r="AI50" s="17"/>
      <c r="AJ50" s="17"/>
    </row>
    <row r="51" spans="1:36" ht="43.5" customHeight="1">
      <c r="A51" s="602">
        <v>17</v>
      </c>
      <c r="B51" s="308" t="str">
        <f>VLOOKUP(A51,Table1[],2,0)</f>
        <v>Indicator de proces</v>
      </c>
      <c r="C51" s="772" t="str">
        <f>VLOOKUP(A51,Table1[],4,0)</f>
        <v>MDR TB-8: Numărul cazurilor de XDR TB incluși în tratament în perioada raportată</v>
      </c>
      <c r="D51" s="772"/>
      <c r="E51" s="772"/>
      <c r="F51" s="265" t="str">
        <f t="shared" si="0"/>
        <v>n/a</v>
      </c>
      <c r="G51" s="265" t="str">
        <f t="shared" si="1"/>
        <v>n/a</v>
      </c>
      <c r="H51" s="773">
        <f>+IF(ISERROR(F51/G51),0,G51/F51)</f>
        <v>0</v>
      </c>
      <c r="I51" s="774"/>
      <c r="J51" s="774"/>
      <c r="K51" s="774"/>
      <c r="L51" s="775"/>
      <c r="M51" s="778" t="s">
        <v>519</v>
      </c>
      <c r="N51" s="779"/>
      <c r="O51" s="779"/>
      <c r="P51" s="779"/>
      <c r="Q51" s="779"/>
      <c r="R51" s="780"/>
      <c r="S51" s="587"/>
      <c r="T51" s="607"/>
      <c r="U51" s="599" t="e">
        <f>IF(#REF!&gt;U$34,IF(#REF!&lt;=U$35,#REF!,NA()),NA())</f>
        <v>#REF!</v>
      </c>
      <c r="V51" s="599" t="e">
        <f>IF(#REF!&gt;V$34,IF(#REF!&lt;=V$35,#REF!,NA()),NA())</f>
        <v>#REF!</v>
      </c>
      <c r="W51" s="599" t="e">
        <f>IF(#REF!&gt;W$34,IF(#REF!&lt;=W$35,#REF!,NA()),NA())</f>
        <v>#REF!</v>
      </c>
      <c r="X51" s="599" t="e">
        <f>IF(#REF!&gt;X$34,IF(#REF!&lt;=X$35,#REF!,NA()),NA())</f>
        <v>#REF!</v>
      </c>
      <c r="Y51" s="599" t="e">
        <f>IF(#REF!&gt;Y$34,IF(#REF!&lt;=Y$35,1,NA()),NA())</f>
        <v>#REF!</v>
      </c>
      <c r="Z51" s="600"/>
      <c r="AA51" s="600"/>
      <c r="AB51" s="600"/>
      <c r="AC51" s="600"/>
      <c r="AD51" s="600"/>
      <c r="AE51" s="600"/>
      <c r="AF51" s="600"/>
      <c r="AG51" s="5"/>
      <c r="AH51" s="17"/>
      <c r="AI51" s="17"/>
      <c r="AJ51" s="17"/>
    </row>
    <row r="52" spans="1:36" ht="68.25" customHeight="1">
      <c r="A52" s="602">
        <v>18</v>
      </c>
      <c r="B52" s="308" t="str">
        <f>VLOOKUP(A52,Table1[],2,0)</f>
        <v>Indicator de proces</v>
      </c>
      <c r="C52" s="772" t="str">
        <f>VLOOKUP(A52,Table1[],4,0)</f>
        <v xml:space="preserve">KP-1d(M): Procentul consumatorilor de droguri injectabile acoperiți de programele de prevenire HIV - pachet definit de servicii </v>
      </c>
      <c r="D52" s="772"/>
      <c r="E52" s="772"/>
      <c r="F52" s="417" t="str">
        <f t="shared" si="0"/>
        <v>n/a</v>
      </c>
      <c r="G52" s="417" t="str">
        <f t="shared" si="1"/>
        <v>n/a</v>
      </c>
      <c r="H52" s="773">
        <f t="shared" ref="H52:H58" si="6">+IF(ISERROR(F52/G52),0,G52/F52)</f>
        <v>0</v>
      </c>
      <c r="I52" s="774"/>
      <c r="J52" s="774"/>
      <c r="K52" s="774"/>
      <c r="L52" s="775"/>
      <c r="M52" s="776" t="s">
        <v>524</v>
      </c>
      <c r="N52" s="777"/>
      <c r="O52" s="777"/>
      <c r="P52" s="777"/>
      <c r="Q52" s="777"/>
      <c r="R52" s="777"/>
      <c r="S52" s="587"/>
      <c r="T52" s="607"/>
      <c r="U52" s="599" t="e">
        <f t="shared" si="2"/>
        <v>#N/A</v>
      </c>
      <c r="V52" s="599" t="e">
        <f t="shared" si="2"/>
        <v>#N/A</v>
      </c>
      <c r="W52" s="599" t="e">
        <f t="shared" si="2"/>
        <v>#N/A</v>
      </c>
      <c r="X52" s="599" t="e">
        <f t="shared" si="2"/>
        <v>#N/A</v>
      </c>
      <c r="Y52" s="599" t="e">
        <f t="shared" ref="Y52:Y53" si="7">IF($L50&gt;Y$34,IF($L50&lt;=Y$35,1,NA()),NA())</f>
        <v>#N/A</v>
      </c>
      <c r="Z52" s="600"/>
      <c r="AA52" s="600"/>
      <c r="AB52" s="600"/>
      <c r="AC52" s="600"/>
      <c r="AD52" s="600"/>
      <c r="AE52" s="600"/>
      <c r="AF52" s="600"/>
      <c r="AG52" s="5"/>
      <c r="AH52" s="17"/>
      <c r="AI52" s="17"/>
      <c r="AJ52" s="17"/>
    </row>
    <row r="53" spans="1:36" ht="68.25" customHeight="1">
      <c r="A53" s="602">
        <v>19</v>
      </c>
      <c r="B53" s="308" t="str">
        <f>VLOOKUP(A53,Table1[],2,0)</f>
        <v>Indicator de proces</v>
      </c>
      <c r="C53" s="772" t="str">
        <f>VLOOKUP(A53,Table1[],4,0)</f>
        <v>KP-3d(M): Procentul consumatorilor de droguri injectabile care au fost testați pentru HIV în perioada de raportare și își cunosc rezultatele</v>
      </c>
      <c r="D53" s="772"/>
      <c r="E53" s="772"/>
      <c r="F53" s="417" t="str">
        <f t="shared" si="0"/>
        <v>n/a</v>
      </c>
      <c r="G53" s="417" t="str">
        <f t="shared" si="1"/>
        <v>n/a</v>
      </c>
      <c r="H53" s="773">
        <f t="shared" si="6"/>
        <v>0</v>
      </c>
      <c r="I53" s="774"/>
      <c r="J53" s="774"/>
      <c r="K53" s="774"/>
      <c r="L53" s="775"/>
      <c r="M53" s="776" t="s">
        <v>525</v>
      </c>
      <c r="N53" s="777"/>
      <c r="O53" s="777"/>
      <c r="P53" s="777"/>
      <c r="Q53" s="777"/>
      <c r="R53" s="777"/>
      <c r="S53" s="587"/>
      <c r="T53" s="607"/>
      <c r="U53" s="599" t="e">
        <f t="shared" si="2"/>
        <v>#N/A</v>
      </c>
      <c r="V53" s="599" t="e">
        <f t="shared" si="2"/>
        <v>#N/A</v>
      </c>
      <c r="W53" s="599" t="e">
        <f t="shared" si="2"/>
        <v>#N/A</v>
      </c>
      <c r="X53" s="599" t="e">
        <f t="shared" si="2"/>
        <v>#N/A</v>
      </c>
      <c r="Y53" s="599" t="e">
        <f t="shared" si="7"/>
        <v>#N/A</v>
      </c>
      <c r="Z53" s="600"/>
      <c r="AA53" s="600"/>
      <c r="AB53" s="600"/>
      <c r="AC53" s="600"/>
      <c r="AD53" s="600"/>
      <c r="AE53" s="600"/>
      <c r="AF53" s="600"/>
      <c r="AG53" s="5"/>
      <c r="AH53" s="17"/>
      <c r="AI53" s="17"/>
      <c r="AJ53" s="17"/>
    </row>
    <row r="54" spans="1:36" ht="68.25" customHeight="1">
      <c r="A54" s="602">
        <v>20</v>
      </c>
      <c r="B54" s="308" t="str">
        <f>VLOOKUP(A54,Table1[],2,0)</f>
        <v>Indicator de proces</v>
      </c>
      <c r="C54" s="772" t="str">
        <f>VLOOKUP(A54,Table1[],4,0)</f>
        <v xml:space="preserve">KP-1c(M): Procentul LSC acoperiți de programele de prevenire HIV - pachet definit de servicii </v>
      </c>
      <c r="D54" s="772"/>
      <c r="E54" s="772"/>
      <c r="F54" s="417" t="str">
        <f t="shared" si="0"/>
        <v>n/a</v>
      </c>
      <c r="G54" s="417" t="str">
        <f t="shared" si="1"/>
        <v>n/a</v>
      </c>
      <c r="H54" s="773">
        <f t="shared" si="6"/>
        <v>0</v>
      </c>
      <c r="I54" s="774"/>
      <c r="J54" s="774"/>
      <c r="K54" s="774"/>
      <c r="L54" s="775"/>
      <c r="M54" s="776" t="s">
        <v>523</v>
      </c>
      <c r="N54" s="777"/>
      <c r="O54" s="777"/>
      <c r="P54" s="777"/>
      <c r="Q54" s="777"/>
      <c r="R54" s="777"/>
      <c r="S54" s="587"/>
      <c r="T54" s="5"/>
      <c r="U54" s="600"/>
      <c r="V54" s="600"/>
      <c r="W54" s="600"/>
      <c r="X54" s="600"/>
      <c r="Y54" s="600"/>
      <c r="Z54" s="600"/>
      <c r="AA54" s="600"/>
      <c r="AB54" s="600"/>
      <c r="AC54" s="600"/>
      <c r="AD54" s="600"/>
      <c r="AE54" s="600"/>
      <c r="AF54" s="600"/>
      <c r="AG54" s="5"/>
      <c r="AH54" s="17"/>
      <c r="AI54" s="17"/>
      <c r="AJ54" s="17"/>
    </row>
    <row r="55" spans="1:36" ht="68.25" customHeight="1">
      <c r="A55" s="602">
        <v>21</v>
      </c>
      <c r="B55" s="308" t="str">
        <f>VLOOKUP(A55,Table1[],2,0)</f>
        <v>Indicator de proces</v>
      </c>
      <c r="C55" s="772" t="str">
        <f>VLOOKUP(A55,Table1[],4,0)</f>
        <v>KP-3c(M): Procentul LSC care au fost testați pentru HIV în perioada de raportare și își cunosc rezultatele</v>
      </c>
      <c r="D55" s="772"/>
      <c r="E55" s="772"/>
      <c r="F55" s="417" t="str">
        <f t="shared" si="0"/>
        <v>n/a</v>
      </c>
      <c r="G55" s="417" t="str">
        <f t="shared" si="1"/>
        <v>n/a</v>
      </c>
      <c r="H55" s="773">
        <f t="shared" si="6"/>
        <v>0</v>
      </c>
      <c r="I55" s="774"/>
      <c r="J55" s="774"/>
      <c r="K55" s="774"/>
      <c r="L55" s="775"/>
      <c r="M55" s="776" t="s">
        <v>522</v>
      </c>
      <c r="N55" s="777"/>
      <c r="O55" s="777"/>
      <c r="P55" s="777"/>
      <c r="Q55" s="777"/>
      <c r="R55" s="777"/>
      <c r="S55" s="587"/>
      <c r="T55" s="5"/>
      <c r="U55" s="600"/>
      <c r="V55" s="600"/>
      <c r="W55" s="600"/>
      <c r="X55" s="600"/>
      <c r="Y55" s="600"/>
      <c r="Z55" s="600"/>
      <c r="AA55" s="600"/>
      <c r="AB55" s="600"/>
      <c r="AC55" s="600"/>
      <c r="AD55" s="600"/>
      <c r="AE55" s="600"/>
      <c r="AF55" s="600"/>
      <c r="AG55" s="5"/>
      <c r="AH55" s="17"/>
      <c r="AI55" s="17"/>
      <c r="AJ55" s="17"/>
    </row>
    <row r="56" spans="1:36" ht="68.25" customHeight="1">
      <c r="A56" s="602">
        <v>22</v>
      </c>
      <c r="B56" s="308" t="str">
        <f>VLOOKUP(A56,Table1[],2,0)</f>
        <v>Indicator de proces</v>
      </c>
      <c r="C56" s="772" t="str">
        <f>VLOOKUP(A56,Table1[],4,0)</f>
        <v xml:space="preserve">KP-1a(M): Procentul BSB acoperiți de programele de prevenire HIV - pachet definit de servicii </v>
      </c>
      <c r="D56" s="772"/>
      <c r="E56" s="772"/>
      <c r="F56" s="417" t="str">
        <f t="shared" si="0"/>
        <v>n/a</v>
      </c>
      <c r="G56" s="417" t="str">
        <f t="shared" si="1"/>
        <v>n/a</v>
      </c>
      <c r="H56" s="773">
        <f t="shared" si="6"/>
        <v>0</v>
      </c>
      <c r="I56" s="774"/>
      <c r="J56" s="774"/>
      <c r="K56" s="774"/>
      <c r="L56" s="775"/>
      <c r="M56" s="776" t="s">
        <v>521</v>
      </c>
      <c r="N56" s="777"/>
      <c r="O56" s="777"/>
      <c r="P56" s="777"/>
      <c r="Q56" s="777"/>
      <c r="R56" s="777"/>
      <c r="S56" s="587"/>
      <c r="T56" s="5"/>
      <c r="U56" s="600"/>
      <c r="V56" s="600"/>
      <c r="W56" s="600"/>
      <c r="X56" s="600"/>
      <c r="Y56" s="600"/>
      <c r="Z56" s="600"/>
      <c r="AA56" s="600"/>
      <c r="AB56" s="600"/>
      <c r="AC56" s="600"/>
      <c r="AD56" s="600"/>
      <c r="AE56" s="600"/>
      <c r="AF56" s="600"/>
      <c r="AG56" s="5"/>
      <c r="AH56" s="17"/>
      <c r="AI56" s="17"/>
      <c r="AJ56" s="17"/>
    </row>
    <row r="57" spans="1:36" ht="68.25" customHeight="1">
      <c r="A57" s="602">
        <v>23</v>
      </c>
      <c r="B57" s="308" t="str">
        <f>VLOOKUP(A57,Table1[],2,0)</f>
        <v>Indicator de proces</v>
      </c>
      <c r="C57" s="772" t="str">
        <f>VLOOKUP(A57,Table1[],4,0)</f>
        <v>KP-3a(M): Procentul BSB care au fost testați pentru HIV în perioada de raportare și își cunosc rezultatele</v>
      </c>
      <c r="D57" s="772"/>
      <c r="E57" s="772"/>
      <c r="F57" s="417" t="str">
        <f t="shared" si="0"/>
        <v>n/a</v>
      </c>
      <c r="G57" s="417" t="str">
        <f t="shared" si="1"/>
        <v>n/a</v>
      </c>
      <c r="H57" s="773">
        <f t="shared" si="6"/>
        <v>0</v>
      </c>
      <c r="I57" s="774"/>
      <c r="J57" s="774"/>
      <c r="K57" s="774"/>
      <c r="L57" s="775"/>
      <c r="M57" s="776" t="s">
        <v>520</v>
      </c>
      <c r="N57" s="777"/>
      <c r="O57" s="777"/>
      <c r="P57" s="777"/>
      <c r="Q57" s="777"/>
      <c r="R57" s="777"/>
      <c r="S57" s="587"/>
      <c r="T57" s="5"/>
      <c r="U57" s="600"/>
      <c r="V57" s="600"/>
      <c r="W57" s="600"/>
      <c r="X57" s="600"/>
      <c r="Y57" s="600"/>
      <c r="Z57" s="600"/>
      <c r="AA57" s="600"/>
      <c r="AB57" s="600"/>
      <c r="AC57" s="600"/>
      <c r="AD57" s="600"/>
      <c r="AE57" s="600"/>
      <c r="AF57" s="600"/>
      <c r="AG57" s="5"/>
      <c r="AH57" s="17"/>
      <c r="AI57" s="17"/>
      <c r="AJ57" s="17"/>
    </row>
    <row r="58" spans="1:36" ht="145.5" customHeight="1">
      <c r="A58" s="602">
        <v>24</v>
      </c>
      <c r="B58" s="308" t="str">
        <f>VLOOKUP(A58,Table1[],2,0)</f>
        <v>Indicator de proces</v>
      </c>
      <c r="C58" s="772" t="str">
        <f>VLOOKUP(A58,Table1[],4,0)</f>
        <v xml:space="preserve">TCS-1 (M): Procentul adulţilor şi copiilor care trăiesc cu HIV și urmează tratament antiretroviral </v>
      </c>
      <c r="D58" s="772"/>
      <c r="E58" s="772"/>
      <c r="F58" s="417" t="str">
        <f t="shared" si="0"/>
        <v>n/a</v>
      </c>
      <c r="G58" s="417" t="str">
        <f t="shared" si="1"/>
        <v>n/a</v>
      </c>
      <c r="H58" s="773">
        <f t="shared" si="6"/>
        <v>0</v>
      </c>
      <c r="I58" s="774"/>
      <c r="J58" s="774"/>
      <c r="K58" s="774"/>
      <c r="L58" s="775"/>
      <c r="M58" s="776" t="s">
        <v>526</v>
      </c>
      <c r="N58" s="777"/>
      <c r="O58" s="777"/>
      <c r="P58" s="777"/>
      <c r="Q58" s="777"/>
      <c r="R58" s="777"/>
      <c r="S58" s="609"/>
      <c r="T58" s="5"/>
      <c r="U58" s="600"/>
      <c r="V58" s="600"/>
      <c r="W58" s="600"/>
      <c r="X58" s="600"/>
      <c r="Y58" s="600"/>
      <c r="Z58" s="600"/>
      <c r="AA58" s="600"/>
      <c r="AB58" s="600"/>
      <c r="AC58" s="600"/>
      <c r="AD58" s="600"/>
      <c r="AE58" s="600"/>
      <c r="AF58" s="600"/>
      <c r="AG58" s="5"/>
      <c r="AH58" s="17"/>
      <c r="AI58" s="17"/>
      <c r="AJ58" s="17"/>
    </row>
    <row r="59" spans="1:36">
      <c r="A59" s="602"/>
      <c r="T59" s="5"/>
      <c r="U59" s="600"/>
      <c r="V59" s="600"/>
      <c r="W59" s="600"/>
      <c r="X59" s="600"/>
      <c r="Y59" s="600"/>
      <c r="Z59" s="600"/>
      <c r="AA59" s="600"/>
      <c r="AB59" s="600"/>
      <c r="AC59" s="600"/>
      <c r="AD59" s="600"/>
      <c r="AE59" s="600"/>
      <c r="AF59" s="600"/>
      <c r="AG59" s="5"/>
      <c r="AH59" s="17"/>
      <c r="AI59" s="17"/>
      <c r="AJ59" s="17"/>
    </row>
    <row r="60" spans="1:36">
      <c r="T60" s="5"/>
      <c r="U60" s="600"/>
      <c r="V60" s="600"/>
      <c r="W60" s="600"/>
      <c r="X60" s="600"/>
      <c r="Y60" s="600"/>
      <c r="Z60" s="600"/>
      <c r="AA60" s="600"/>
      <c r="AB60" s="600"/>
      <c r="AC60" s="600"/>
      <c r="AD60" s="600"/>
      <c r="AE60" s="600"/>
      <c r="AF60" s="600"/>
      <c r="AG60" s="5"/>
      <c r="AH60" s="17"/>
      <c r="AI60" s="17"/>
      <c r="AJ60" s="17"/>
    </row>
    <row r="61" spans="1:36">
      <c r="T61" s="5"/>
      <c r="U61" s="600"/>
      <c r="V61" s="600"/>
      <c r="W61" s="600"/>
      <c r="X61" s="600"/>
      <c r="Y61" s="600"/>
      <c r="Z61" s="600"/>
      <c r="AA61" s="600"/>
      <c r="AB61" s="600"/>
      <c r="AC61" s="600"/>
      <c r="AD61" s="601"/>
      <c r="AE61" s="601"/>
      <c r="AF61" s="601"/>
    </row>
    <row r="62" spans="1:36">
      <c r="T62" s="5"/>
      <c r="U62" s="600"/>
      <c r="V62" s="600"/>
      <c r="W62" s="600"/>
      <c r="X62" s="600"/>
      <c r="Y62" s="600"/>
      <c r="Z62" s="600"/>
      <c r="AA62" s="600"/>
      <c r="AB62" s="600"/>
      <c r="AC62" s="600"/>
      <c r="AD62" s="601"/>
      <c r="AE62" s="601"/>
      <c r="AF62" s="601"/>
    </row>
    <row r="63" spans="1:36">
      <c r="T63" s="5"/>
      <c r="U63" s="600"/>
      <c r="V63" s="600"/>
      <c r="W63" s="600"/>
      <c r="X63" s="600"/>
      <c r="Y63" s="600"/>
      <c r="Z63" s="600"/>
      <c r="AA63" s="600"/>
      <c r="AB63" s="600"/>
      <c r="AC63" s="600"/>
      <c r="AD63" s="601"/>
      <c r="AE63" s="601"/>
      <c r="AF63" s="601"/>
    </row>
    <row r="64" spans="1:36">
      <c r="T64" s="5"/>
      <c r="U64" s="600"/>
      <c r="V64" s="600"/>
      <c r="W64" s="600"/>
      <c r="X64" s="600"/>
      <c r="Y64" s="600"/>
      <c r="Z64" s="600"/>
      <c r="AA64" s="600"/>
      <c r="AB64" s="600"/>
      <c r="AC64" s="600"/>
      <c r="AD64" s="601"/>
      <c r="AE64" s="601"/>
      <c r="AF64" s="601"/>
    </row>
    <row r="65" spans="20:32">
      <c r="T65" s="5"/>
      <c r="U65" s="600"/>
      <c r="V65" s="600"/>
      <c r="W65" s="600"/>
      <c r="X65" s="600"/>
      <c r="Y65" s="600"/>
      <c r="Z65" s="600"/>
      <c r="AA65" s="600"/>
      <c r="AB65" s="600"/>
      <c r="AC65" s="600"/>
      <c r="AD65" s="601"/>
      <c r="AE65" s="601"/>
      <c r="AF65" s="601"/>
    </row>
  </sheetData>
  <mergeCells count="97">
    <mergeCell ref="D19:F19"/>
    <mergeCell ref="H19:L19"/>
    <mergeCell ref="N19:R19"/>
    <mergeCell ref="N20:R20"/>
    <mergeCell ref="C2:AD2"/>
    <mergeCell ref="D20:F20"/>
    <mergeCell ref="H20:L20"/>
    <mergeCell ref="E5:O5"/>
    <mergeCell ref="G6:L6"/>
    <mergeCell ref="F3:L3"/>
    <mergeCell ref="D4:E4"/>
    <mergeCell ref="C44:E44"/>
    <mergeCell ref="H44:L44"/>
    <mergeCell ref="M44:R44"/>
    <mergeCell ref="C45:E45"/>
    <mergeCell ref="H45:L45"/>
    <mergeCell ref="M45:R45"/>
    <mergeCell ref="C42:E42"/>
    <mergeCell ref="H42:L42"/>
    <mergeCell ref="M42:R42"/>
    <mergeCell ref="C43:E43"/>
    <mergeCell ref="H43:L43"/>
    <mergeCell ref="M43:R43"/>
    <mergeCell ref="C40:E40"/>
    <mergeCell ref="H40:L40"/>
    <mergeCell ref="M40:R40"/>
    <mergeCell ref="C41:E41"/>
    <mergeCell ref="H41:L41"/>
    <mergeCell ref="M41:R41"/>
    <mergeCell ref="C38:E38"/>
    <mergeCell ref="H38:L38"/>
    <mergeCell ref="M38:R38"/>
    <mergeCell ref="C39:E39"/>
    <mergeCell ref="H39:L39"/>
    <mergeCell ref="M39:R39"/>
    <mergeCell ref="C37:E37"/>
    <mergeCell ref="H36:L36"/>
    <mergeCell ref="C36:E36"/>
    <mergeCell ref="N9:R9"/>
    <mergeCell ref="D3:E3"/>
    <mergeCell ref="F4:M4"/>
    <mergeCell ref="O3:Q3"/>
    <mergeCell ref="N8:R8"/>
    <mergeCell ref="H8:L8"/>
    <mergeCell ref="D8:F8"/>
    <mergeCell ref="D9:F9"/>
    <mergeCell ref="H9:L9"/>
    <mergeCell ref="F33:L33"/>
    <mergeCell ref="C34:E34"/>
    <mergeCell ref="C35:E35"/>
    <mergeCell ref="H35:L35"/>
    <mergeCell ref="C46:E46"/>
    <mergeCell ref="C47:E47"/>
    <mergeCell ref="H46:L46"/>
    <mergeCell ref="H47:L47"/>
    <mergeCell ref="H49:L49"/>
    <mergeCell ref="H48:L48"/>
    <mergeCell ref="C48:E48"/>
    <mergeCell ref="C49:E49"/>
    <mergeCell ref="M34:R34"/>
    <mergeCell ref="M49:R49"/>
    <mergeCell ref="H37:L37"/>
    <mergeCell ref="H34:I34"/>
    <mergeCell ref="J34:K34"/>
    <mergeCell ref="M48:R48"/>
    <mergeCell ref="M35:R35"/>
    <mergeCell ref="M36:R36"/>
    <mergeCell ref="M37:R37"/>
    <mergeCell ref="M46:R46"/>
    <mergeCell ref="M47:R47"/>
    <mergeCell ref="H50:L50"/>
    <mergeCell ref="M50:R50"/>
    <mergeCell ref="C51:E51"/>
    <mergeCell ref="H51:L51"/>
    <mergeCell ref="M51:R51"/>
    <mergeCell ref="C50:E50"/>
    <mergeCell ref="C52:E52"/>
    <mergeCell ref="H52:L52"/>
    <mergeCell ref="M52:R52"/>
    <mergeCell ref="C53:E53"/>
    <mergeCell ref="H53:L53"/>
    <mergeCell ref="M53:R53"/>
    <mergeCell ref="C54:E54"/>
    <mergeCell ref="H54:L54"/>
    <mergeCell ref="M54:R54"/>
    <mergeCell ref="C55:E55"/>
    <mergeCell ref="H55:L55"/>
    <mergeCell ref="M55:R55"/>
    <mergeCell ref="C58:E58"/>
    <mergeCell ref="H58:L58"/>
    <mergeCell ref="M58:R58"/>
    <mergeCell ref="C56:E56"/>
    <mergeCell ref="H56:L56"/>
    <mergeCell ref="M56:R56"/>
    <mergeCell ref="C57:E57"/>
    <mergeCell ref="H57:L57"/>
    <mergeCell ref="M57:R57"/>
  </mergeCells>
  <phoneticPr fontId="23" type="noConversion"/>
  <conditionalFormatting sqref="D4:E4">
    <cfRule type="cellIs" dxfId="28" priority="68" stopIfTrue="1" operator="equal">
      <formula>"C"</formula>
    </cfRule>
    <cfRule type="cellIs" dxfId="27" priority="69" stopIfTrue="1" operator="equal">
      <formula>"B2"</formula>
    </cfRule>
    <cfRule type="cellIs" dxfId="26" priority="70" stopIfTrue="1" operator="equal">
      <formula>"B1"</formula>
    </cfRule>
  </conditionalFormatting>
  <conditionalFormatting sqref="H35:H36 H38:H41 H43:H58">
    <cfRule type="cellIs" dxfId="25" priority="74" stopIfTrue="1" operator="between">
      <formula>0.000001</formula>
      <formula>0.599</formula>
    </cfRule>
    <cfRule type="cellIs" dxfId="24" priority="75" stopIfTrue="1" operator="between">
      <formula>0.6</formula>
      <formula>0.899</formula>
    </cfRule>
    <cfRule type="cellIs" dxfId="23" priority="76" stopIfTrue="1" operator="greaterThanOrEqual">
      <formula>0.9</formula>
    </cfRule>
  </conditionalFormatting>
  <conditionalFormatting sqref="H42">
    <cfRule type="cellIs" dxfId="22" priority="4" stopIfTrue="1" operator="between">
      <formula>0.000001</formula>
      <formula>0.599</formula>
    </cfRule>
    <cfRule type="cellIs" dxfId="21" priority="5" stopIfTrue="1" operator="between">
      <formula>0.6</formula>
      <formula>0.899</formula>
    </cfRule>
    <cfRule type="cellIs" dxfId="20" priority="6" stopIfTrue="1" operator="greaterThanOrEqual">
      <formula>0.9</formula>
    </cfRule>
  </conditionalFormatting>
  <conditionalFormatting sqref="H37">
    <cfRule type="cellIs" dxfId="19" priority="1" stopIfTrue="1" operator="between">
      <formula>0.000001</formula>
      <formula>0.599</formula>
    </cfRule>
    <cfRule type="cellIs" dxfId="18" priority="2" stopIfTrue="1" operator="between">
      <formula>0.6</formula>
      <formula>0.899</formula>
    </cfRule>
    <cfRule type="cellIs" dxfId="17" priority="3" stopIfTrue="1" operator="greaterThanOrEqual">
      <formula>0.9</formula>
    </cfRule>
  </conditionalFormatting>
  <pageMargins left="0.70866141732283472" right="0.70866141732283472" top="0.74803149606299213" bottom="0.74803149606299213" header="0.31496062992125984" footer="0.31496062992125984"/>
  <pageSetup paperSize="256" scale="46" fitToHeight="0" orientation="portrait" r:id="rId1"/>
  <headerFooter alignWithMargins="0">
    <oddFooter>&amp;L&amp;F&amp;C&amp;A&amp;RV1.0          &amp;D</oddFooter>
  </headerFooter>
  <rowBreaks count="1" manualBreakCount="1">
    <brk id="49" min="1"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pageSetUpPr fitToPage="1"/>
  </sheetPr>
  <dimension ref="A1:T39"/>
  <sheetViews>
    <sheetView showGridLines="0" view="pageBreakPreview" topLeftCell="A19" zoomScale="75" zoomScaleNormal="90" zoomScaleSheetLayoutView="75" workbookViewId="0">
      <selection activeCell="D12" sqref="D12:G12"/>
    </sheetView>
  </sheetViews>
  <sheetFormatPr defaultRowHeight="11.25"/>
  <cols>
    <col min="1" max="1" width="1.140625" style="24" customWidth="1"/>
    <col min="2" max="2" width="19.28515625" style="24" customWidth="1"/>
    <col min="3" max="3" width="1.140625" style="24" customWidth="1"/>
    <col min="4" max="4" width="17.140625" style="24" customWidth="1"/>
    <col min="5" max="5" width="17.5703125" style="24" customWidth="1"/>
    <col min="6" max="6" width="9.7109375" style="24" customWidth="1"/>
    <col min="7" max="7" width="38.140625" style="24" customWidth="1"/>
    <col min="8" max="8" width="4.28515625" style="24" customWidth="1"/>
    <col min="9" max="9" width="15.85546875" style="24" customWidth="1"/>
    <col min="10" max="10" width="3.5703125" style="24" customWidth="1"/>
    <col min="11" max="11" width="7.5703125" style="25" customWidth="1"/>
    <col min="12" max="12" width="14.28515625" style="24" customWidth="1"/>
    <col min="13" max="13" width="12" style="24" customWidth="1"/>
    <col min="14" max="14" width="5.42578125" style="24" customWidth="1"/>
    <col min="15" max="15" width="2.5703125" style="24" customWidth="1"/>
    <col min="16" max="16384" width="9.140625" style="24"/>
  </cols>
  <sheetData>
    <row r="1" spans="1:15" ht="38.25" customHeight="1">
      <c r="A1" s="106"/>
      <c r="B1" s="106"/>
      <c r="C1" s="106"/>
      <c r="D1" s="106"/>
      <c r="E1" s="106"/>
      <c r="F1" s="106"/>
      <c r="G1" s="106"/>
      <c r="H1" s="106"/>
      <c r="I1" s="106"/>
      <c r="J1" s="106"/>
      <c r="K1" s="107"/>
      <c r="L1" s="106"/>
      <c r="M1" s="106"/>
      <c r="N1" s="106"/>
    </row>
    <row r="2" spans="1:15" customFormat="1" ht="27.75" customHeight="1">
      <c r="A2" s="3"/>
      <c r="B2" s="728" t="str">
        <f>+"Tabel Programatic de evaluare:  "&amp;"  "&amp;IF(+'Introducerea datelor'!C4="Please Select","",'Introducerea datelor'!C4&amp;" - ")&amp;IF('Introducerea datelor'!G6="Please Select","",'Introducerea datelor'!G6)</f>
        <v>Tabel Programatic de evaluare:    Moldova - HIVAIDS / TB</v>
      </c>
      <c r="C2" s="728"/>
      <c r="D2" s="728"/>
      <c r="E2" s="728"/>
      <c r="F2" s="728"/>
      <c r="G2" s="728"/>
      <c r="H2" s="728"/>
      <c r="I2" s="728"/>
      <c r="J2" s="728"/>
      <c r="K2" s="728"/>
      <c r="L2" s="728"/>
      <c r="M2" s="728"/>
      <c r="N2" s="728"/>
      <c r="O2" s="47"/>
    </row>
    <row r="3" spans="1:15" customFormat="1" ht="18.75">
      <c r="A3" s="3"/>
      <c r="B3" s="96" t="str">
        <f>+IF('Introducerea datelor'!G8="Please Select","",'Introducerea datelor'!G8)</f>
        <v/>
      </c>
      <c r="C3" s="733" t="str">
        <f>+IF('Introducerea datelor'!I8="Please Select","",'Introducerea datelor'!I8)</f>
        <v/>
      </c>
      <c r="D3" s="733"/>
      <c r="E3" s="233"/>
      <c r="F3" s="233"/>
      <c r="G3" s="233"/>
      <c r="H3" s="233"/>
      <c r="I3" s="233"/>
      <c r="J3" s="233"/>
      <c r="K3" s="233"/>
      <c r="L3" s="96" t="str">
        <f>+'Introducerea datelor'!B16</f>
        <v>Perioada de Raportare:</v>
      </c>
      <c r="M3" s="121" t="str">
        <f>+'Introducerea datelor'!C16</f>
        <v>P3</v>
      </c>
      <c r="N3" s="121"/>
      <c r="O3" s="24"/>
    </row>
    <row r="4" spans="1:15" customFormat="1" ht="15">
      <c r="A4" s="3"/>
      <c r="B4" s="96" t="str">
        <f>+'Introducerea datelor'!B12</f>
        <v>Ultimul Rating:</v>
      </c>
      <c r="C4" s="806" t="str">
        <f>+IF('Introducerea datelor'!C12="Please Select","",'Introducerea datelor'!C12)</f>
        <v/>
      </c>
      <c r="D4" s="806"/>
      <c r="E4" s="731" t="str">
        <f>+'Introducerea datelor'!C8</f>
        <v>IP UCIMP DS</v>
      </c>
      <c r="F4" s="731"/>
      <c r="G4" s="731"/>
      <c r="H4" s="731"/>
      <c r="I4" s="731"/>
      <c r="J4" s="731"/>
      <c r="K4" s="731"/>
      <c r="L4" s="96" t="str">
        <f>+'Introducerea datelor'!D16</f>
        <v>De la:</v>
      </c>
      <c r="M4" s="122">
        <f>+IF(ISBLANK('Introducerea datelor'!E16),"",'Introducerea datelor'!E16)</f>
        <v>43466</v>
      </c>
      <c r="N4" s="122"/>
      <c r="O4" s="24"/>
    </row>
    <row r="5" spans="1:15" customFormat="1" ht="18.75" customHeight="1">
      <c r="A5" s="3"/>
      <c r="B5" s="96"/>
      <c r="C5" s="96"/>
      <c r="D5" s="97"/>
      <c r="E5" s="731" t="str">
        <f>+'Introducerea datelor'!G4</f>
        <v>Consolidarea controlului tuberculozei și reducerea SIDA și a mortalității aferente în Republica Moldova</v>
      </c>
      <c r="F5" s="731"/>
      <c r="G5" s="731"/>
      <c r="H5" s="731"/>
      <c r="I5" s="731"/>
      <c r="J5" s="731"/>
      <c r="K5" s="731"/>
      <c r="L5" s="96" t="str">
        <f>+'Introducerea datelor'!F16</f>
        <v>Pînă la:</v>
      </c>
      <c r="M5" s="122">
        <f>+IF(ISBLANK('Introducerea datelor'!G16),"",'Introducerea datelor'!G16)</f>
        <v>43646</v>
      </c>
      <c r="N5" s="122"/>
    </row>
    <row r="6" spans="1:15" customFormat="1" ht="22.5" customHeight="1">
      <c r="A6" s="3"/>
      <c r="B6" s="100"/>
      <c r="C6" s="101"/>
      <c r="D6" s="102"/>
      <c r="E6" s="833" t="s">
        <v>386</v>
      </c>
      <c r="F6" s="833"/>
      <c r="G6" s="833"/>
      <c r="H6" s="833"/>
      <c r="I6" s="833"/>
      <c r="J6" s="833"/>
      <c r="K6" s="833"/>
      <c r="L6" s="2"/>
      <c r="M6" s="2"/>
      <c r="N6" s="2"/>
    </row>
    <row r="7" spans="1:15" s="26" customFormat="1" ht="4.5" customHeight="1">
      <c r="A7" s="108"/>
      <c r="B7" s="109"/>
      <c r="C7" s="109"/>
      <c r="D7" s="109"/>
      <c r="E7" s="109"/>
      <c r="F7" s="109"/>
      <c r="G7" s="109"/>
      <c r="H7" s="109"/>
      <c r="I7" s="109"/>
      <c r="J7" s="109"/>
      <c r="K7" s="109"/>
      <c r="L7" s="110"/>
      <c r="M7" s="110"/>
      <c r="N7" s="111"/>
    </row>
    <row r="8" spans="1:15" s="26" customFormat="1" ht="21" customHeight="1" thickBot="1">
      <c r="A8" s="108"/>
      <c r="B8" s="832" t="s">
        <v>392</v>
      </c>
      <c r="C8" s="832"/>
      <c r="D8" s="832"/>
      <c r="E8" s="832"/>
      <c r="F8" s="832"/>
      <c r="G8" s="832"/>
      <c r="H8" s="832"/>
      <c r="I8" s="832"/>
      <c r="J8" s="832"/>
      <c r="K8" s="832"/>
      <c r="L8" s="832"/>
      <c r="M8" s="832"/>
      <c r="N8" s="832"/>
    </row>
    <row r="9" spans="1:15" s="26" customFormat="1" ht="3.75" customHeight="1" thickBot="1">
      <c r="A9" s="108"/>
      <c r="B9" s="109"/>
      <c r="C9" s="109"/>
      <c r="D9" s="109"/>
      <c r="E9" s="109"/>
      <c r="F9" s="109"/>
      <c r="G9" s="109"/>
      <c r="H9" s="109"/>
      <c r="I9" s="109"/>
      <c r="J9" s="109"/>
      <c r="K9" s="109"/>
      <c r="L9" s="110"/>
      <c r="M9" s="110"/>
      <c r="N9" s="111"/>
    </row>
    <row r="10" spans="1:15" s="27" customFormat="1" ht="25.5" customHeight="1" thickBot="1">
      <c r="A10" s="112"/>
      <c r="B10" s="809" t="s">
        <v>387</v>
      </c>
      <c r="C10" s="810"/>
      <c r="D10" s="811" t="s">
        <v>388</v>
      </c>
      <c r="E10" s="812"/>
      <c r="F10" s="812"/>
      <c r="G10" s="813"/>
      <c r="H10" s="113"/>
      <c r="I10" s="811" t="s">
        <v>386</v>
      </c>
      <c r="J10" s="812"/>
      <c r="K10" s="812"/>
      <c r="L10" s="812"/>
      <c r="M10" s="812"/>
      <c r="N10" s="813"/>
    </row>
    <row r="11" spans="1:15" s="27" customFormat="1" ht="37.5" customHeight="1">
      <c r="A11" s="112"/>
      <c r="B11" s="245" t="s">
        <v>56</v>
      </c>
      <c r="C11" s="246"/>
      <c r="D11" s="822" t="str">
        <f>IF(ISBLANK(Financiar!C9),"",(Financiar!C9))</f>
        <v/>
      </c>
      <c r="E11" s="822"/>
      <c r="F11" s="822"/>
      <c r="G11" s="823"/>
      <c r="H11" s="281"/>
      <c r="I11" s="814"/>
      <c r="J11" s="815"/>
      <c r="K11" s="815"/>
      <c r="L11" s="815"/>
      <c r="M11" s="815"/>
      <c r="N11" s="816"/>
    </row>
    <row r="12" spans="1:15" s="27" customFormat="1" ht="252.75" customHeight="1">
      <c r="A12" s="112"/>
      <c r="B12" s="249" t="s">
        <v>57</v>
      </c>
      <c r="C12" s="250"/>
      <c r="D12" s="817" t="str">
        <f>IF(ISBLANK(Financiar!C23),"",(Financiar!C23))</f>
        <v xml:space="preserve">Componenta TB: Obiectivul 1 „Asigurarea accesului universal la diagnosticul la timp şi de calitate al tuturor formelor de tuberculoză, inclusiv celor cu TB-M/EDR” - variația se datorează, în mare parte, în mare parte, economiilor acumulate în rezultatul procurării unor cantități mai mici de medii nutritive, conform solicitării Beneficiarului, și replanificării schemei de livrare a acestor tranșe (de la 45 la 60 zile între ele).  
Obiectivul 2 „Asigurarea accesului universal la tratamentul calitativ pentru toate formele de TB, inclusiv cu TB-M/EDR” - variația se datorează (i) achiziționării unor cantități mai mici de medicamente antituberculoase pentru tratamentul pacienților cu TB-M/EDR, în rezultatul evaluării stocurilor existente și estimării necesităților; și (ii) plății amânate a taxelor GLC de către FG.                                                                                                                                                                                                                    Componenta HIV/SIDA: Obiectivul 1 „Sporirea accesului la servicii de prevenire a infecției HIV, pe bază de dovezi” - variația se datorează, în mare parte, economiilor acumulate la procurarea consumabilelor necesare pentru realizarea activităților de prevenire HIV, precum și a plăților executate în avans pentru procurarea acestor consumabile, inclusiv procurarea de produse medicale pentru organizarea Studiului Integrat Bio-Comportamental în rândul GRSI (IBBS) 2019-2020.  
</v>
      </c>
      <c r="E12" s="817"/>
      <c r="F12" s="817"/>
      <c r="G12" s="818"/>
      <c r="H12" s="281"/>
      <c r="I12" s="814"/>
      <c r="J12" s="815"/>
      <c r="K12" s="815"/>
      <c r="L12" s="815"/>
      <c r="M12" s="815"/>
      <c r="N12" s="816"/>
    </row>
    <row r="13" spans="1:15" s="27" customFormat="1" ht="271.5" customHeight="1">
      <c r="A13" s="112"/>
      <c r="B13" s="249" t="s">
        <v>58</v>
      </c>
      <c r="C13" s="250"/>
      <c r="D13" s="817" t="str">
        <f>IF(ISBLANK(Financiar!I9),"",(Financiar!I9))</f>
        <v/>
      </c>
      <c r="E13" s="817"/>
      <c r="F13" s="817"/>
      <c r="G13" s="818"/>
      <c r="H13" s="281"/>
      <c r="I13" s="814"/>
      <c r="J13" s="815"/>
      <c r="K13" s="815"/>
      <c r="L13" s="815"/>
      <c r="M13" s="815"/>
      <c r="N13" s="816"/>
    </row>
    <row r="14" spans="1:15" s="27" customFormat="1" ht="52.5" customHeight="1" thickBot="1">
      <c r="A14" s="112"/>
      <c r="B14" s="247" t="s">
        <v>59</v>
      </c>
      <c r="C14" s="248"/>
      <c r="D14" s="824" t="str">
        <f>IF(ISBLANK(Financiar!I23),"",(Financiar!I23))</f>
        <v/>
      </c>
      <c r="E14" s="824"/>
      <c r="F14" s="824"/>
      <c r="G14" s="825"/>
      <c r="H14" s="281"/>
      <c r="I14" s="834"/>
      <c r="J14" s="835"/>
      <c r="K14" s="835"/>
      <c r="L14" s="835"/>
      <c r="M14" s="835"/>
      <c r="N14" s="836"/>
    </row>
    <row r="15" spans="1:15" s="27" customFormat="1" ht="4.5" customHeight="1">
      <c r="A15" s="112"/>
      <c r="B15" s="117"/>
      <c r="C15" s="118"/>
      <c r="D15" s="282"/>
      <c r="E15" s="282"/>
      <c r="F15" s="282"/>
      <c r="G15" s="282"/>
      <c r="H15" s="281"/>
      <c r="I15" s="283"/>
      <c r="J15" s="283"/>
      <c r="K15" s="283"/>
      <c r="L15" s="283"/>
      <c r="M15" s="283"/>
      <c r="N15" s="283"/>
      <c r="O15" s="49"/>
    </row>
    <row r="16" spans="1:15" s="26" customFormat="1" ht="21" customHeight="1" thickBot="1">
      <c r="A16" s="108"/>
      <c r="B16" s="832" t="s">
        <v>391</v>
      </c>
      <c r="C16" s="832"/>
      <c r="D16" s="832"/>
      <c r="E16" s="832"/>
      <c r="F16" s="832"/>
      <c r="G16" s="832"/>
      <c r="H16" s="832"/>
      <c r="I16" s="832"/>
      <c r="J16" s="832"/>
      <c r="K16" s="832"/>
      <c r="L16" s="832"/>
      <c r="M16" s="832"/>
      <c r="N16" s="832"/>
    </row>
    <row r="17" spans="1:20" s="27" customFormat="1" ht="3.75" customHeight="1" thickBot="1">
      <c r="A17" s="112"/>
      <c r="B17" s="284"/>
      <c r="C17" s="115"/>
      <c r="D17" s="285"/>
      <c r="E17" s="286"/>
      <c r="F17" s="287"/>
      <c r="G17" s="287"/>
      <c r="H17" s="288"/>
      <c r="I17" s="116"/>
      <c r="J17" s="289"/>
      <c r="K17" s="290"/>
      <c r="L17" s="291"/>
      <c r="M17" s="114"/>
      <c r="N17" s="292"/>
    </row>
    <row r="18" spans="1:20" s="27" customFormat="1" ht="22.5" customHeight="1" thickBot="1">
      <c r="A18" s="112"/>
      <c r="B18" s="807" t="s">
        <v>55</v>
      </c>
      <c r="C18" s="808"/>
      <c r="D18" s="826" t="s">
        <v>388</v>
      </c>
      <c r="E18" s="827"/>
      <c r="F18" s="827"/>
      <c r="G18" s="828"/>
      <c r="H18" s="293"/>
      <c r="I18" s="819" t="s">
        <v>386</v>
      </c>
      <c r="J18" s="820"/>
      <c r="K18" s="820"/>
      <c r="L18" s="820"/>
      <c r="M18" s="821"/>
      <c r="N18" s="821"/>
    </row>
    <row r="19" spans="1:20" s="27" customFormat="1" ht="37.5" customHeight="1">
      <c r="A19" s="112"/>
      <c r="B19" s="251" t="s">
        <v>64</v>
      </c>
      <c r="C19" s="252"/>
      <c r="D19" s="840" t="str">
        <f>IF(ISBLANK(Management!C8),"",(Management!C8))</f>
        <v>În conformitate cu Acordul de Grant, au fost identificare 2 condiții, după cum urmează: 
-Creșterea graduală a finanțării din sursele interne și asugurarea unei cofinanțări de 15% (sau 2.384.508 Euro) din valoarea totală a Grantului pentru anii 2017-2019 (15.896.721 Euro) din sursele interne -  Informația este disponibilă anual și se va raporta în următoarea perioadă.
-Asigurarea cooperării cu Comitetul de Lumină Verde(GLC), inclusiv prin bugetarea și autorizarea transferului cotizațiilor anuale de maximum 50.000 USD - Suma bugetată este dedusă din debursări de către FG. Pentru perioada raportată, plata nu a fost efectuată de către FG.</v>
      </c>
      <c r="E19" s="840"/>
      <c r="F19" s="840"/>
      <c r="G19" s="841"/>
      <c r="H19" s="294"/>
      <c r="I19" s="846"/>
      <c r="J19" s="847"/>
      <c r="K19" s="847"/>
      <c r="L19" s="847"/>
      <c r="M19" s="847"/>
      <c r="N19" s="848"/>
    </row>
    <row r="20" spans="1:20" ht="47.25" customHeight="1">
      <c r="A20" s="106"/>
      <c r="B20" s="255" t="s">
        <v>65</v>
      </c>
      <c r="C20" s="256"/>
      <c r="D20" s="817" t="str">
        <f>IF(ISBLANK(Management!I8),"",(Management!I8))</f>
        <v>Toate posturile în cadrul echipei ce gestionează Grantul curent sunt ocupate.</v>
      </c>
      <c r="E20" s="817" t="e">
        <f>+'Introducerea datelor'!D75/'Introducerea datelor'!G75</f>
        <v>#DIV/0!</v>
      </c>
      <c r="F20" s="817" t="e">
        <f>+('Introducerea datelor'!E75+'Introducerea datelor'!F75)/'Introducerea datelor'!G75</f>
        <v>#DIV/0!</v>
      </c>
      <c r="G20" s="842"/>
      <c r="H20" s="294"/>
      <c r="I20" s="837"/>
      <c r="J20" s="838"/>
      <c r="K20" s="838"/>
      <c r="L20" s="838"/>
      <c r="M20" s="838"/>
      <c r="N20" s="839"/>
      <c r="O20" s="28"/>
    </row>
    <row r="21" spans="1:20" ht="90.75" customHeight="1">
      <c r="A21" s="106"/>
      <c r="B21" s="257" t="s">
        <v>66</v>
      </c>
      <c r="C21" s="256"/>
      <c r="D21" s="817" t="str">
        <f>IF(ISBLANK(Management!C16),"",(Management!C16))</f>
        <v>Componenta TB: Acordul de Sub-recipient cu IMSP IFP ”Chiril Draganiuc” (Amendamentul nr. 1 din 02/01/2019 la contractul MDA/C/T/SR/01 din 09.02.2018), prevede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precum și realizarea cursurilor de instruire.                                                          Componenta HIV/SIDA: Acordul de Sub-recipient cu AO „Inițiativa Pozitivă” (contract nr. SR-IP-02 din 02.01.2019), prevede susținerea campaniilor de advocacy pentru creșterea accesului la servicii de testare, reducere a stigmei și discriminării, sustenabilitate a programelor desfășurate și serviciilor acordate; oferirea de mini grant-uri pentru ONG-uri privind monitorizarea comunităților și gradului de răspundere socială la nivel local; elaborarea, editarea și distribuirea materialelor informaționale și educaționale despre infecția HIV/SIDA pentru grupurile țintă: CDI/LSC/BSB/PTH.</v>
      </c>
      <c r="E21" s="817"/>
      <c r="F21" s="817"/>
      <c r="G21" s="842"/>
      <c r="H21" s="294"/>
      <c r="I21" s="837"/>
      <c r="J21" s="838"/>
      <c r="K21" s="838"/>
      <c r="L21" s="838"/>
      <c r="M21" s="838"/>
      <c r="N21" s="839"/>
      <c r="O21" s="28"/>
    </row>
    <row r="22" spans="1:20" ht="46.5" customHeight="1">
      <c r="A22" s="106"/>
      <c r="B22" s="257" t="s">
        <v>67</v>
      </c>
      <c r="C22" s="256"/>
      <c r="D22" s="817" t="str">
        <f>IF(ISBLANK(Management!I16),"",(Management!I16))</f>
        <v>În perioada raportată, Sub-Recipienții au prezentat cîte două rapoarte trimestriale (narative și financiare), în conformitate cu acordurile semnate.</v>
      </c>
      <c r="E22" s="817"/>
      <c r="F22" s="817"/>
      <c r="G22" s="842"/>
      <c r="H22" s="294"/>
      <c r="I22" s="837"/>
      <c r="J22" s="838"/>
      <c r="K22" s="838"/>
      <c r="L22" s="838"/>
      <c r="M22" s="838"/>
      <c r="N22" s="839"/>
      <c r="O22" s="28"/>
    </row>
    <row r="23" spans="1:20" ht="43.5" customHeight="1">
      <c r="A23" s="106"/>
      <c r="B23" s="257" t="s">
        <v>68</v>
      </c>
      <c r="C23" s="256"/>
      <c r="D23" s="817" t="str">
        <f>IF(ISBLANK(Management!C27),"",(Management!C27))</f>
        <v xml:space="preserve">Variația dintre bugetul aprobat și cheltuielile cumulative, se datorează, în mare parte:    -- la componenta TB - (i) economiilor acumulate în rezultatul procurării unor cantități mai mici de medii nutritive, conform solicitării Beneficiarului, și replanificării schemei de livrare a acestora; și (ii) achiziționării unor cantități mai mici de medicamente antituberculoase pentru tratamentul pacienților cu TB-M/EDR, în rezultatul evaluării stocurilor existente și estimării necesităților;                                                                                                              -- la componenta HIV/SIDA - economiilor acumulate la procurarea consumabilelor necesare pentru realizarea activităților de prevenire HIV, precum și a plăților executate în avans pentru procurarea acestor consumabile, inclusiv procurarea de produse medicale pentru organizarea Studiului Integrat Bio-Comportamental în rândul GRSI (IBBS) 2019-2020.  </v>
      </c>
      <c r="E23" s="817"/>
      <c r="F23" s="817"/>
      <c r="G23" s="842"/>
      <c r="H23" s="294"/>
      <c r="I23" s="837"/>
      <c r="J23" s="838"/>
      <c r="K23" s="838"/>
      <c r="L23" s="838"/>
      <c r="M23" s="838"/>
      <c r="N23" s="839"/>
      <c r="O23" s="28"/>
    </row>
    <row r="24" spans="1:20" ht="60" customHeight="1" thickBot="1">
      <c r="A24" s="106"/>
      <c r="B24" s="253" t="s">
        <v>69</v>
      </c>
      <c r="C24" s="254"/>
      <c r="D24" s="830" t="str">
        <f>IF(ISBLANK(Management!I27),"",(Management!I27))</f>
        <v>Componenta TB: Analiza stocului medicamentelor antituberculoase de linia a II și a III, a numărului de pacienți în tratament, arată prezența unui stoc între 4 și 8 luni, pentru preparatele de bază. În baza estimărilor respective, comanda ulterioară va fi plasată în luna octombrie 2019.                                                                                                                             Componenta HIV/SIDA: Stocul de medicamente ARV disponibil acoperă estimativ perioada de 6-7 luni. Comanda pentru achiziționarea medicamentelor ARV din sursele FG, destinate acoperirii necesităților PN HIV în anul 2020, urmează a fi plasată în luna octombrie 2019.</v>
      </c>
      <c r="E24" s="830"/>
      <c r="F24" s="830"/>
      <c r="G24" s="831"/>
      <c r="H24" s="294"/>
      <c r="I24" s="849"/>
      <c r="J24" s="850"/>
      <c r="K24" s="850"/>
      <c r="L24" s="850"/>
      <c r="M24" s="850"/>
      <c r="N24" s="851"/>
      <c r="O24" s="28"/>
      <c r="T24" s="271"/>
    </row>
    <row r="25" spans="1:20" ht="4.5" customHeight="1">
      <c r="A25" s="108"/>
      <c r="B25" s="295"/>
      <c r="C25" s="296"/>
      <c r="D25" s="297"/>
      <c r="E25" s="298"/>
      <c r="F25" s="299"/>
      <c r="G25" s="299"/>
      <c r="H25" s="293"/>
      <c r="I25" s="298"/>
      <c r="J25" s="300"/>
      <c r="K25" s="290"/>
      <c r="L25" s="291"/>
      <c r="M25" s="114"/>
      <c r="N25" s="292"/>
      <c r="O25" s="28"/>
    </row>
    <row r="26" spans="1:20" s="26" customFormat="1" ht="21" customHeight="1" thickBot="1">
      <c r="A26" s="108"/>
      <c r="B26" s="832" t="s">
        <v>390</v>
      </c>
      <c r="C26" s="832"/>
      <c r="D26" s="832"/>
      <c r="E26" s="832"/>
      <c r="F26" s="832"/>
      <c r="G26" s="832"/>
      <c r="H26" s="832"/>
      <c r="I26" s="832"/>
      <c r="J26" s="832"/>
      <c r="K26" s="832"/>
      <c r="L26" s="832"/>
      <c r="M26" s="832"/>
      <c r="N26" s="832"/>
      <c r="R26" s="272"/>
    </row>
    <row r="27" spans="1:20" ht="3.75" customHeight="1" thickBot="1">
      <c r="A27" s="108"/>
      <c r="B27" s="295"/>
      <c r="C27" s="296"/>
      <c r="D27" s="297"/>
      <c r="E27" s="298"/>
      <c r="F27" s="299"/>
      <c r="G27" s="299"/>
      <c r="H27" s="293"/>
      <c r="I27" s="298"/>
      <c r="J27" s="300"/>
      <c r="K27" s="290"/>
      <c r="L27" s="291"/>
      <c r="M27" s="114"/>
      <c r="N27" s="292"/>
      <c r="O27" s="28"/>
    </row>
    <row r="28" spans="1:20" ht="21.75" customHeight="1" thickBot="1">
      <c r="A28" s="106"/>
      <c r="B28" s="829" t="s">
        <v>389</v>
      </c>
      <c r="C28" s="808"/>
      <c r="D28" s="843" t="s">
        <v>388</v>
      </c>
      <c r="E28" s="844"/>
      <c r="F28" s="844"/>
      <c r="G28" s="845"/>
      <c r="H28" s="293"/>
      <c r="I28" s="843" t="s">
        <v>386</v>
      </c>
      <c r="J28" s="844"/>
      <c r="K28" s="844"/>
      <c r="L28" s="844"/>
      <c r="M28" s="844"/>
      <c r="N28" s="845"/>
      <c r="O28" s="28"/>
    </row>
    <row r="29" spans="1:20" ht="86.25" hidden="1" customHeight="1">
      <c r="A29" s="106"/>
      <c r="B29" s="301" t="s">
        <v>242</v>
      </c>
      <c r="C29" s="302"/>
      <c r="D29" s="862" t="str">
        <f>IF(ISBLANK(Programatic!D9),"",(Programatic!D9))</f>
        <v xml:space="preserve">Date finale pentru anul 2018. 304 persoane au decedat de tuberculoză în anul 2018 (7,54 decese la 100 000 persoane). 
Notă - Ținta a fost atinsă. Se constată o micșorare cu 5% a ratei de mortalitate față de datele anului 2017 (320 cazuri de deces cauzate de tuberculoză), cu 18,3% a ratei de mortalitate față de datele anului 2016 (372 cazuri de deces cauzate de tuberculoză), cu 25,5% a ratei de mortalitate față de datele anului 2015 (408 cazuri de deces cauzate de tuberculoză), cu 40,2% a ratei de mortalitate față de datele anului 2014 (508 cazuri de deces cauzate de tuberculoză) și cu 33,3% față de datele anului 2013 (456 cazuri de deces cauzate de tuberculoză). </v>
      </c>
      <c r="E29" s="863"/>
      <c r="F29" s="863"/>
      <c r="G29" s="864"/>
      <c r="H29" s="294"/>
      <c r="I29" s="856"/>
      <c r="J29" s="857"/>
      <c r="K29" s="857"/>
      <c r="L29" s="857"/>
      <c r="M29" s="857"/>
      <c r="N29" s="858"/>
      <c r="O29" s="28"/>
    </row>
    <row r="30" spans="1:20" ht="87" hidden="1" customHeight="1">
      <c r="A30" s="106"/>
      <c r="B30" s="303" t="s">
        <v>243</v>
      </c>
      <c r="C30" s="304"/>
      <c r="D30" s="855" t="str">
        <f>IF(ISBLANK(Programatic!H9),"",(Programatic!H9))</f>
        <v xml:space="preserve">Date preliminare pentru anul 2018. 393 cazuri noi de tuberculoză cu testul pozitiv la cultură, examinate la sensibilitate pentru preparatele de linia I, din 1 424 cazuri investigate în 2018, au fost diagnosticate cu MDR.
Notă - Se constată menținerea unei rate înalte a TB MDR printre cazurile noi - situație caracteristică ultimilor ani. </v>
      </c>
      <c r="E30" s="853"/>
      <c r="F30" s="853"/>
      <c r="G30" s="854"/>
      <c r="H30" s="294"/>
      <c r="I30" s="859"/>
      <c r="J30" s="860"/>
      <c r="K30" s="860"/>
      <c r="L30" s="860"/>
      <c r="M30" s="860"/>
      <c r="N30" s="861"/>
      <c r="O30" s="28"/>
    </row>
    <row r="31" spans="1:20" ht="75" hidden="1" customHeight="1">
      <c r="A31" s="106"/>
      <c r="B31" s="303" t="s">
        <v>244</v>
      </c>
      <c r="C31" s="304"/>
      <c r="D31" s="855" t="str">
        <f>IF(ISBLANK(Programatic!N9),"",(Programatic!N9))</f>
        <v>Indicatorul se raportează anual. Datele finale pentru anul 2018 sunt raportabile către 15 August 2019.</v>
      </c>
      <c r="E31" s="853"/>
      <c r="F31" s="853"/>
      <c r="G31" s="854"/>
      <c r="H31" s="294"/>
      <c r="I31" s="859"/>
      <c r="J31" s="860"/>
      <c r="K31" s="860"/>
      <c r="L31" s="860"/>
      <c r="M31" s="860"/>
      <c r="N31" s="861"/>
      <c r="O31" s="28"/>
    </row>
    <row r="32" spans="1:20" ht="94.5" customHeight="1">
      <c r="A32" s="106"/>
      <c r="B32" s="305" t="s">
        <v>60</v>
      </c>
      <c r="C32" s="304"/>
      <c r="D32" s="852" t="str">
        <f>IF(ISBLANK(Programatic!M35),"",(Programatic!M35))</f>
        <v xml:space="preserve">Date finale pentru anul 2018. 304 persoane au decedat de tuberculoză în anul 2018 (7,54 decese la 100 000 persoane). 
Notă - Ținta a fost atinsă. Se constată o micșorare cu 5% a ratei de mortalitate față de datele anului 2017 (320 cazuri de deces cauzate de tuberculoză), cu 18,3% a ratei de mortalitate față de datele anului 2016 (372 cazuri de deces cauzate de tuberculoză), cu 25,5% a ratei de mortalitate față de datele anului 2015 (408 cazuri de deces cauzate de tuberculoză), cu 40,2% a ratei de mortalitate față de datele anului 2014 (508 cazuri de deces cauzate de tuberculoză) și cu 33,3% față de datele anului 2013 (456 cazuri de deces cauzate de tuberculoză). </v>
      </c>
      <c r="E32" s="853"/>
      <c r="F32" s="853"/>
      <c r="G32" s="854"/>
      <c r="H32" s="294"/>
      <c r="I32" s="859"/>
      <c r="J32" s="860"/>
      <c r="K32" s="860"/>
      <c r="L32" s="860"/>
      <c r="M32" s="860"/>
      <c r="N32" s="861"/>
      <c r="O32" s="28"/>
    </row>
    <row r="33" spans="1:15" ht="87" customHeight="1">
      <c r="A33" s="106"/>
      <c r="B33" s="305" t="s">
        <v>61</v>
      </c>
      <c r="C33" s="304"/>
      <c r="D33" s="852" t="str">
        <f>IF(ISBLANK(Programatic!M36),"",(Programatic!M36))</f>
        <v xml:space="preserve">Date finale pentru anul 2018. 397 cazuri noi de tuberculoză cu testul pozitiv la cultură, examinate la sensibilitate pentru preparatele de linia I, din 1 431 cazuri investigate în 2018, au fost diagnosticate cu MDR.
Notă - Se constată menținerea unei rate înalte a TB MDR printre cazurile noi - situație caracteristică ultimilor ani. </v>
      </c>
      <c r="E33" s="853"/>
      <c r="F33" s="853"/>
      <c r="G33" s="854"/>
      <c r="H33" s="294"/>
      <c r="I33" s="859"/>
      <c r="J33" s="860"/>
      <c r="K33" s="860"/>
      <c r="L33" s="860"/>
      <c r="M33" s="860"/>
      <c r="N33" s="861"/>
      <c r="O33" s="28"/>
    </row>
    <row r="34" spans="1:15" ht="199.5" customHeight="1">
      <c r="A34" s="106"/>
      <c r="B34" s="305" t="s">
        <v>62</v>
      </c>
      <c r="C34" s="304"/>
      <c r="D34" s="852" t="str">
        <f>IF(ISBLANK(Programatic!M37),"",(Programatic!M37))</f>
        <v xml:space="preserve">Date finale pentru anul 2018. 172 persoane au decedat de SIDA în anul 2018 (4,27 decese la 100 000 persoane). 
Notă - Datele pentru acest indicator sunt pentru a. 2018, pentru ambele maluri, raportabile către 15 august 2019.
</v>
      </c>
      <c r="E34" s="853"/>
      <c r="F34" s="853"/>
      <c r="G34" s="854"/>
      <c r="H34" s="294"/>
      <c r="I34" s="859"/>
      <c r="J34" s="860"/>
      <c r="K34" s="860"/>
      <c r="L34" s="860"/>
      <c r="M34" s="860"/>
      <c r="N34" s="861"/>
      <c r="O34" s="28"/>
    </row>
    <row r="35" spans="1:15" ht="107.25" customHeight="1">
      <c r="A35" s="106"/>
      <c r="B35" s="305" t="s">
        <v>63</v>
      </c>
      <c r="C35" s="306"/>
      <c r="D35" s="852" t="str">
        <f>IF(ISBLANK(Programatic!M46),"",(Programatic!M46))</f>
        <v>Data de raportare - 31 August 2020. Datele sunt colectate și validate în conformitate cu rezultatele Studiului Bio-Comportamental (BSS).</v>
      </c>
      <c r="E35" s="853"/>
      <c r="F35" s="853"/>
      <c r="G35" s="854"/>
      <c r="H35" s="294"/>
      <c r="I35" s="859"/>
      <c r="J35" s="860"/>
      <c r="K35" s="860"/>
      <c r="L35" s="860"/>
      <c r="M35" s="860"/>
      <c r="N35" s="861"/>
      <c r="O35" s="28"/>
    </row>
    <row r="36" spans="1:15" ht="82.5" customHeight="1">
      <c r="A36" s="106"/>
      <c r="B36" s="305" t="s">
        <v>70</v>
      </c>
      <c r="C36" s="306"/>
      <c r="D36" s="852" t="str">
        <f>IF(ISBLANK(Programatic!M47),"",(Programatic!M47))</f>
        <v>Data de raportare - 31 August 2020. Datele sunt colectate și validate în conformitate cu rezultatele Studiului Bio-Comportamental (BSS).</v>
      </c>
      <c r="E36" s="853"/>
      <c r="F36" s="853"/>
      <c r="G36" s="854"/>
      <c r="H36" s="294"/>
      <c r="I36" s="859"/>
      <c r="J36" s="860"/>
      <c r="K36" s="860"/>
      <c r="L36" s="860"/>
      <c r="M36" s="860"/>
      <c r="N36" s="861"/>
      <c r="O36" s="28"/>
    </row>
    <row r="37" spans="1:15" ht="102" customHeight="1">
      <c r="A37" s="106"/>
      <c r="B37" s="305" t="s">
        <v>71</v>
      </c>
      <c r="C37" s="306"/>
      <c r="D37" s="852" t="str">
        <f>IF(ISBLANK(Programatic!M48),"",(Programatic!M48))</f>
        <v xml:space="preserve">Date preliminare pentru trim.I-II 2019. 348 cazuri cu tuberculoză drog-rezistentă (RR-TB și/sau MDR-TB), confirmate bacteriologic, au fost notificate, față de 512 cazuri estimate pentru perioada raportată.                                                    
Notă - Reducerea numărului de pacienți MDR TB notificați este în directă corespundere cu scăderea incidenței TB.               </v>
      </c>
      <c r="E37" s="853"/>
      <c r="F37" s="853"/>
      <c r="G37" s="854"/>
      <c r="H37" s="294"/>
      <c r="I37" s="859"/>
      <c r="J37" s="860"/>
      <c r="K37" s="860"/>
      <c r="L37" s="860"/>
      <c r="M37" s="860"/>
      <c r="N37" s="861"/>
      <c r="O37" s="28"/>
    </row>
    <row r="38" spans="1:15" ht="162.75" customHeight="1">
      <c r="A38" s="106"/>
      <c r="B38" s="305" t="s">
        <v>72</v>
      </c>
      <c r="C38" s="306"/>
      <c r="D38" s="852" t="str">
        <f>IF(ISBLANK(Programatic!M49),"",(Programatic!M49))</f>
        <v xml:space="preserve">Date preliminare pentru trim.I-II 2019. 443 pacienți cu tuberculoză drog-rezistentă (RR-TB și/sau MDR-TB), confirmate bacteriologic, au demarat tratamentul DOTS-Plus în Q1-Q2.2019, față de 507 pacienți estimați pentru perioada raportată.                                                                                                                       </v>
      </c>
      <c r="E38" s="853"/>
      <c r="F38" s="853"/>
      <c r="G38" s="854"/>
      <c r="H38" s="294"/>
      <c r="I38" s="859"/>
      <c r="J38" s="860"/>
      <c r="K38" s="860"/>
      <c r="L38" s="860"/>
      <c r="M38" s="860"/>
      <c r="N38" s="861"/>
      <c r="O38" s="28"/>
    </row>
    <row r="39" spans="1:15" ht="178.5" customHeight="1"/>
  </sheetData>
  <mergeCells count="58">
    <mergeCell ref="D38:G38"/>
    <mergeCell ref="I29:N29"/>
    <mergeCell ref="I30:N30"/>
    <mergeCell ref="I31:N31"/>
    <mergeCell ref="I32:N32"/>
    <mergeCell ref="I33:N33"/>
    <mergeCell ref="D37:G37"/>
    <mergeCell ref="D36:G36"/>
    <mergeCell ref="I34:N34"/>
    <mergeCell ref="I35:N35"/>
    <mergeCell ref="I36:N36"/>
    <mergeCell ref="I37:N37"/>
    <mergeCell ref="I38:N38"/>
    <mergeCell ref="D34:G34"/>
    <mergeCell ref="D29:G29"/>
    <mergeCell ref="D35:G35"/>
    <mergeCell ref="D32:G32"/>
    <mergeCell ref="D30:G30"/>
    <mergeCell ref="D31:G31"/>
    <mergeCell ref="D33:G33"/>
    <mergeCell ref="D20:G20"/>
    <mergeCell ref="D19:G19"/>
    <mergeCell ref="D21:G21"/>
    <mergeCell ref="D22:G22"/>
    <mergeCell ref="I28:N28"/>
    <mergeCell ref="I19:N19"/>
    <mergeCell ref="I24:N24"/>
    <mergeCell ref="I20:N20"/>
    <mergeCell ref="D23:G23"/>
    <mergeCell ref="D28:G28"/>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B18:C18"/>
    <mergeCell ref="B10:C10"/>
    <mergeCell ref="D10:G10"/>
    <mergeCell ref="I12:N12"/>
    <mergeCell ref="D12:G12"/>
    <mergeCell ref="I11:N11"/>
    <mergeCell ref="I18:N18"/>
    <mergeCell ref="D11:G11"/>
    <mergeCell ref="D13:G13"/>
    <mergeCell ref="I13:N13"/>
    <mergeCell ref="D14:G14"/>
    <mergeCell ref="D18:G18"/>
  </mergeCells>
  <phoneticPr fontId="23" type="noConversion"/>
  <conditionalFormatting sqref="C4:D4">
    <cfRule type="cellIs" dxfId="16" priority="1" stopIfTrue="1" operator="equal">
      <formula>"C"</formula>
    </cfRule>
    <cfRule type="cellIs" dxfId="15" priority="2" stopIfTrue="1" operator="equal">
      <formula>"B2"</formula>
    </cfRule>
    <cfRule type="cellIs" dxfId="14" priority="3" stopIfTrue="1" operator="equal">
      <formula>"B1"</formula>
    </cfRule>
  </conditionalFormatting>
  <pageMargins left="0.70866141732283472" right="0.70866141732283472" top="0.74803149606299213" bottom="0.74803149606299213" header="0.31496062992125984" footer="0.31496062992125984"/>
  <pageSetup paperSize="256" scale="52" fitToHeight="0" orientation="portrait" r:id="rId1"/>
  <headerFooter alignWithMargins="0">
    <oddFooter>&amp;L&amp;F&amp;C&amp;A&amp;RV1.0          &amp;D</oddFooter>
  </headerFooter>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pageSetUpPr fitToPage="1"/>
  </sheetPr>
  <dimension ref="A1:M43"/>
  <sheetViews>
    <sheetView showGridLines="0" view="pageBreakPreview" zoomScaleNormal="100" zoomScaleSheetLayoutView="100" workbookViewId="0">
      <selection activeCell="O25" sqref="O25"/>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914" t="str">
        <f>+"Tabel Programatic de Evaluare:  "&amp;"  "&amp;IF(+'Introducerea datelor'!C4="Please Select","",'Introducerea datelor'!C4&amp;" - ")&amp;IF('Introducerea datelor'!G6="Please Select","",'Introducerea datelor'!G6)</f>
        <v>Tabel Programatic de Evaluare:    Moldova - HIVAIDS / TB</v>
      </c>
      <c r="C2" s="914"/>
      <c r="D2" s="914"/>
      <c r="E2" s="914"/>
      <c r="F2" s="914"/>
      <c r="G2" s="914"/>
      <c r="H2" s="914"/>
      <c r="I2" s="914"/>
      <c r="J2" s="914"/>
      <c r="K2" s="914"/>
      <c r="L2" s="914"/>
    </row>
    <row r="3" spans="1:13">
      <c r="B3" s="21" t="str">
        <f>+IF('Introducerea datelor'!G8="Please Select","",'Introducerea datelor'!G8)</f>
        <v/>
      </c>
      <c r="C3" s="921" t="str">
        <f>+IF('Introducerea datelor'!I8="Please Select","",'Introducerea datelor'!I8)</f>
        <v/>
      </c>
      <c r="D3" s="921"/>
      <c r="E3" s="917"/>
      <c r="F3" s="917"/>
      <c r="G3" s="917"/>
      <c r="H3" s="917"/>
      <c r="I3" s="917"/>
      <c r="J3" s="918" t="str">
        <f>+'Introducerea datelor'!B16</f>
        <v>Perioada de Raportare:</v>
      </c>
      <c r="K3" s="918"/>
      <c r="L3" s="121" t="str">
        <f>+'Introducerea datelor'!C16</f>
        <v>P3</v>
      </c>
      <c r="M3" s="54"/>
    </row>
    <row r="4" spans="1:13">
      <c r="B4" s="21" t="str">
        <f>+'Introducerea datelor'!B12</f>
        <v>Ultimul Rating:</v>
      </c>
      <c r="C4" s="915" t="str">
        <f>+IF('Introducerea datelor'!C12="Please Select","",'Introducerea datelor'!C12)</f>
        <v/>
      </c>
      <c r="D4" s="915"/>
      <c r="E4" s="917" t="str">
        <f>+'Introducerea datelor'!C8</f>
        <v>IP UCIMP DS</v>
      </c>
      <c r="F4" s="917"/>
      <c r="G4" s="917"/>
      <c r="H4" s="917"/>
      <c r="I4" s="917"/>
      <c r="J4" s="918" t="str">
        <f>+'Introducerea datelor'!D16</f>
        <v>De la:</v>
      </c>
      <c r="K4" s="919"/>
      <c r="L4" s="122">
        <f>+IF(ISBLANK('Introducerea datelor'!E16),"",'Introducerea datelor'!E16)</f>
        <v>43466</v>
      </c>
    </row>
    <row r="5" spans="1:13" ht="18.75" customHeight="1">
      <c r="B5" s="21"/>
      <c r="C5" s="21"/>
      <c r="D5" s="917" t="str">
        <f>+'Introducerea datelor'!G4</f>
        <v>Consolidarea controlului tuberculozei și reducerea SIDA și a mortalității aferente în Republica Moldova</v>
      </c>
      <c r="E5" s="917"/>
      <c r="F5" s="917"/>
      <c r="G5" s="917"/>
      <c r="H5" s="917"/>
      <c r="I5" s="917"/>
      <c r="J5" s="917"/>
      <c r="K5" s="21" t="str">
        <f>+'Introducerea datelor'!F16</f>
        <v>Pînă la:</v>
      </c>
      <c r="L5" s="122">
        <f>+IF(ISBLANK('Introducerea datelor'!G16),"",'Introducerea datelor'!G16)</f>
        <v>43646</v>
      </c>
    </row>
    <row r="6" spans="1:13" ht="18.75">
      <c r="B6" s="20"/>
      <c r="C6" s="21"/>
      <c r="D6" s="22"/>
      <c r="E6" s="920" t="s">
        <v>393</v>
      </c>
      <c r="F6" s="920"/>
      <c r="G6" s="920"/>
      <c r="H6" s="920"/>
      <c r="I6" s="920"/>
    </row>
    <row r="7" spans="1:13" ht="18.75">
      <c r="E7" s="46"/>
      <c r="F7" s="46"/>
      <c r="G7" s="46"/>
      <c r="H7" s="46"/>
      <c r="I7" s="46"/>
    </row>
    <row r="8" spans="1:13" s="26" customFormat="1" ht="21" customHeight="1" thickBot="1">
      <c r="B8" s="50" t="s">
        <v>394</v>
      </c>
      <c r="C8" s="50"/>
      <c r="D8" s="50"/>
      <c r="E8" s="50"/>
      <c r="F8" s="50"/>
      <c r="G8" s="50"/>
      <c r="H8" s="50"/>
      <c r="I8" s="50"/>
      <c r="J8" s="50"/>
      <c r="K8" s="50"/>
      <c r="L8" s="50"/>
    </row>
    <row r="9" spans="1:13" ht="6" customHeight="1">
      <c r="B9" s="48"/>
    </row>
    <row r="10" spans="1:13" ht="18" customHeight="1">
      <c r="B10" s="926"/>
      <c r="C10" s="927"/>
      <c r="D10" s="927"/>
      <c r="E10" s="927"/>
      <c r="F10" s="927"/>
      <c r="G10" s="927"/>
      <c r="H10" s="927"/>
      <c r="I10" s="927"/>
      <c r="J10" s="927"/>
      <c r="K10" s="927"/>
      <c r="L10" s="928"/>
    </row>
    <row r="11" spans="1:13" ht="18" customHeight="1">
      <c r="B11" s="929"/>
      <c r="C11" s="930"/>
      <c r="D11" s="930"/>
      <c r="E11" s="930"/>
      <c r="F11" s="930"/>
      <c r="G11" s="930"/>
      <c r="H11" s="930"/>
      <c r="I11" s="930"/>
      <c r="J11" s="930"/>
      <c r="K11" s="930"/>
      <c r="L11" s="931"/>
    </row>
    <row r="12" spans="1:13" ht="15.75" thickBot="1"/>
    <row r="13" spans="1:13" ht="26.25" customHeight="1" thickBot="1">
      <c r="B13" s="922" t="s">
        <v>416</v>
      </c>
      <c r="C13" s="923"/>
      <c r="D13" s="923"/>
      <c r="E13" s="924"/>
      <c r="F13" s="51"/>
      <c r="G13" s="932" t="s">
        <v>395</v>
      </c>
      <c r="H13" s="895"/>
      <c r="I13" s="895"/>
      <c r="J13" s="52" t="s">
        <v>396</v>
      </c>
      <c r="K13" s="895" t="s">
        <v>397</v>
      </c>
      <c r="L13" s="896"/>
    </row>
    <row r="14" spans="1:13" ht="18.75" customHeight="1">
      <c r="A14" s="865" t="s">
        <v>398</v>
      </c>
      <c r="B14" s="911"/>
      <c r="C14" s="912"/>
      <c r="D14" s="912"/>
      <c r="E14" s="913"/>
      <c r="F14" s="31"/>
      <c r="G14" s="910"/>
      <c r="H14" s="898"/>
      <c r="I14" s="898"/>
      <c r="J14" s="898"/>
      <c r="K14" s="898"/>
      <c r="L14" s="916"/>
    </row>
    <row r="15" spans="1:13" ht="18.75" customHeight="1">
      <c r="A15" s="866"/>
      <c r="B15" s="902"/>
      <c r="C15" s="903"/>
      <c r="D15" s="903"/>
      <c r="E15" s="904"/>
      <c r="F15" s="31"/>
      <c r="G15" s="907"/>
      <c r="H15" s="885"/>
      <c r="I15" s="885"/>
      <c r="J15" s="885"/>
      <c r="K15" s="885"/>
      <c r="L15" s="886"/>
    </row>
    <row r="16" spans="1:13" ht="18.75" customHeight="1">
      <c r="A16" s="866"/>
      <c r="B16" s="899"/>
      <c r="C16" s="900"/>
      <c r="D16" s="900"/>
      <c r="E16" s="901"/>
      <c r="F16" s="31"/>
      <c r="G16" s="907"/>
      <c r="H16" s="885"/>
      <c r="I16" s="885"/>
      <c r="J16" s="885"/>
      <c r="K16" s="885"/>
      <c r="L16" s="886"/>
    </row>
    <row r="17" spans="1:12" ht="18.75" customHeight="1">
      <c r="A17" s="866"/>
      <c r="B17" s="902"/>
      <c r="C17" s="903"/>
      <c r="D17" s="903"/>
      <c r="E17" s="904"/>
      <c r="F17" s="31"/>
      <c r="G17" s="907"/>
      <c r="H17" s="885"/>
      <c r="I17" s="885"/>
      <c r="J17" s="885"/>
      <c r="K17" s="885"/>
      <c r="L17" s="886"/>
    </row>
    <row r="18" spans="1:12" ht="18.75" customHeight="1">
      <c r="A18" s="866"/>
      <c r="B18" s="899"/>
      <c r="C18" s="900"/>
      <c r="D18" s="900"/>
      <c r="E18" s="901"/>
      <c r="F18" s="31"/>
      <c r="G18" s="887"/>
      <c r="H18" s="888"/>
      <c r="I18" s="889"/>
      <c r="J18" s="885"/>
      <c r="K18" s="885"/>
      <c r="L18" s="886"/>
    </row>
    <row r="19" spans="1:12" ht="18.75" customHeight="1">
      <c r="A19" s="866"/>
      <c r="B19" s="902"/>
      <c r="C19" s="903"/>
      <c r="D19" s="903"/>
      <c r="E19" s="904"/>
      <c r="F19" s="31"/>
      <c r="G19" s="881"/>
      <c r="H19" s="882"/>
      <c r="I19" s="890"/>
      <c r="J19" s="885"/>
      <c r="K19" s="885"/>
      <c r="L19" s="886"/>
    </row>
    <row r="20" spans="1:12" ht="18.75" customHeight="1">
      <c r="A20" s="866"/>
      <c r="B20" s="905"/>
      <c r="C20" s="905"/>
      <c r="D20" s="905"/>
      <c r="E20" s="906"/>
      <c r="F20" s="31"/>
      <c r="G20" s="907"/>
      <c r="H20" s="885"/>
      <c r="I20" s="885"/>
      <c r="J20" s="885"/>
      <c r="K20" s="885"/>
      <c r="L20" s="886"/>
    </row>
    <row r="21" spans="1:12" ht="18.75" customHeight="1">
      <c r="A21" s="866"/>
      <c r="B21" s="905"/>
      <c r="C21" s="905"/>
      <c r="D21" s="905"/>
      <c r="E21" s="906"/>
      <c r="F21" s="31"/>
      <c r="G21" s="907"/>
      <c r="H21" s="885"/>
      <c r="I21" s="885"/>
      <c r="J21" s="885"/>
      <c r="K21" s="885"/>
      <c r="L21" s="886"/>
    </row>
    <row r="22" spans="1:12" ht="18.75" customHeight="1">
      <c r="A22" s="866"/>
      <c r="B22" s="905"/>
      <c r="C22" s="905"/>
      <c r="D22" s="905"/>
      <c r="E22" s="906"/>
      <c r="F22" s="31"/>
      <c r="G22" s="907"/>
      <c r="H22" s="885"/>
      <c r="I22" s="885"/>
      <c r="J22" s="885"/>
      <c r="K22" s="885"/>
      <c r="L22" s="886"/>
    </row>
    <row r="23" spans="1:12" ht="18.75" customHeight="1">
      <c r="A23" s="866"/>
      <c r="B23" s="905"/>
      <c r="C23" s="905"/>
      <c r="D23" s="905"/>
      <c r="E23" s="906"/>
      <c r="F23" s="31"/>
      <c r="G23" s="907"/>
      <c r="H23" s="885"/>
      <c r="I23" s="885"/>
      <c r="J23" s="885"/>
      <c r="K23" s="885"/>
      <c r="L23" s="886"/>
    </row>
    <row r="24" spans="1:12" ht="18.75" customHeight="1">
      <c r="A24" s="866"/>
      <c r="B24" s="905"/>
      <c r="C24" s="905"/>
      <c r="D24" s="905"/>
      <c r="E24" s="906"/>
      <c r="F24" s="31"/>
      <c r="G24" s="907"/>
      <c r="H24" s="885"/>
      <c r="I24" s="885"/>
      <c r="J24" s="885"/>
      <c r="K24" s="885"/>
      <c r="L24" s="886"/>
    </row>
    <row r="25" spans="1:12" ht="18.75" customHeight="1" thickBot="1">
      <c r="A25" s="867"/>
      <c r="B25" s="908"/>
      <c r="C25" s="908"/>
      <c r="D25" s="908"/>
      <c r="E25" s="909"/>
      <c r="F25" s="31"/>
      <c r="G25" s="933"/>
      <c r="H25" s="891"/>
      <c r="I25" s="891"/>
      <c r="J25" s="891"/>
      <c r="K25" s="891"/>
      <c r="L25" s="892"/>
    </row>
    <row r="27" spans="1:12" ht="18.75">
      <c r="E27" s="934" t="s">
        <v>399</v>
      </c>
      <c r="F27" s="934"/>
      <c r="G27" s="934"/>
      <c r="H27" s="934"/>
      <c r="I27" s="934"/>
    </row>
    <row r="28" spans="1:12" ht="6" customHeight="1">
      <c r="E28" s="46"/>
      <c r="F28" s="46"/>
      <c r="G28" s="46"/>
      <c r="H28" s="46"/>
      <c r="I28" s="46"/>
    </row>
    <row r="29" spans="1:12" s="26" customFormat="1" ht="21" customHeight="1" thickBot="1">
      <c r="B29" s="50" t="s">
        <v>400</v>
      </c>
      <c r="C29" s="50"/>
      <c r="D29" s="50"/>
      <c r="E29" s="50"/>
      <c r="F29" s="50"/>
      <c r="G29" s="50"/>
      <c r="H29" s="50"/>
      <c r="I29" s="50"/>
      <c r="J29" s="50"/>
      <c r="K29" s="50"/>
      <c r="L29" s="50"/>
    </row>
    <row r="30" spans="1:12" ht="6" customHeight="1" thickBot="1">
      <c r="B30" s="48"/>
    </row>
    <row r="31" spans="1:12" ht="38.25" customHeight="1" thickBot="1">
      <c r="B31" s="922" t="s">
        <v>395</v>
      </c>
      <c r="C31" s="923"/>
      <c r="D31" s="923"/>
      <c r="E31" s="924"/>
      <c r="F31" s="51"/>
      <c r="G31" s="932" t="s">
        <v>401</v>
      </c>
      <c r="H31" s="895"/>
      <c r="I31" s="895"/>
      <c r="J31" s="52" t="s">
        <v>402</v>
      </c>
      <c r="K31" s="895" t="s">
        <v>397</v>
      </c>
      <c r="L31" s="896"/>
    </row>
    <row r="32" spans="1:12" ht="16.5" customHeight="1">
      <c r="A32" s="865" t="s">
        <v>403</v>
      </c>
      <c r="B32" s="878"/>
      <c r="C32" s="879"/>
      <c r="D32" s="879"/>
      <c r="E32" s="880"/>
      <c r="F32" s="31"/>
      <c r="G32" s="925"/>
      <c r="H32" s="884"/>
      <c r="I32" s="884"/>
      <c r="J32" s="884"/>
      <c r="K32" s="884"/>
      <c r="L32" s="897"/>
    </row>
    <row r="33" spans="1:12" ht="16.5" customHeight="1">
      <c r="A33" s="866"/>
      <c r="B33" s="881"/>
      <c r="C33" s="882"/>
      <c r="D33" s="882"/>
      <c r="E33" s="883"/>
      <c r="F33" s="31"/>
      <c r="G33" s="874"/>
      <c r="H33" s="875"/>
      <c r="I33" s="875"/>
      <c r="J33" s="875"/>
      <c r="K33" s="875"/>
      <c r="L33" s="893"/>
    </row>
    <row r="34" spans="1:12" ht="16.5" customHeight="1">
      <c r="A34" s="866"/>
      <c r="B34" s="868" t="str">
        <f>IF(Recomandari!I39="","",Recomandari!I39)</f>
        <v/>
      </c>
      <c r="C34" s="869"/>
      <c r="D34" s="869"/>
      <c r="E34" s="870"/>
      <c r="F34" s="31"/>
      <c r="G34" s="874"/>
      <c r="H34" s="875"/>
      <c r="I34" s="875"/>
      <c r="J34" s="875"/>
      <c r="K34" s="875"/>
      <c r="L34" s="893"/>
    </row>
    <row r="35" spans="1:12" ht="16.5" customHeight="1">
      <c r="A35" s="866"/>
      <c r="B35" s="868"/>
      <c r="C35" s="869"/>
      <c r="D35" s="869"/>
      <c r="E35" s="870"/>
      <c r="F35" s="31"/>
      <c r="G35" s="874"/>
      <c r="H35" s="875"/>
      <c r="I35" s="875"/>
      <c r="J35" s="875"/>
      <c r="K35" s="875"/>
      <c r="L35" s="893"/>
    </row>
    <row r="36" spans="1:12" ht="16.5" customHeight="1">
      <c r="A36" s="866"/>
      <c r="B36" s="868" t="str">
        <f>+IF(Recomandari!I49="","",Recomandari!I49)</f>
        <v/>
      </c>
      <c r="C36" s="869"/>
      <c r="D36" s="869"/>
      <c r="E36" s="870"/>
      <c r="F36" s="31"/>
      <c r="G36" s="874"/>
      <c r="H36" s="875"/>
      <c r="I36" s="875"/>
      <c r="J36" s="875"/>
      <c r="K36" s="875"/>
      <c r="L36" s="893"/>
    </row>
    <row r="37" spans="1:12" ht="16.5" customHeight="1">
      <c r="A37" s="866"/>
      <c r="B37" s="868"/>
      <c r="C37" s="869"/>
      <c r="D37" s="869"/>
      <c r="E37" s="870"/>
      <c r="F37" s="31"/>
      <c r="G37" s="874"/>
      <c r="H37" s="875"/>
      <c r="I37" s="875"/>
      <c r="J37" s="875"/>
      <c r="K37" s="875"/>
      <c r="L37" s="893"/>
    </row>
    <row r="38" spans="1:12" ht="16.5" customHeight="1">
      <c r="A38" s="866"/>
      <c r="B38" s="868"/>
      <c r="C38" s="869"/>
      <c r="D38" s="869"/>
      <c r="E38" s="870"/>
      <c r="F38" s="31"/>
      <c r="G38" s="874"/>
      <c r="H38" s="875"/>
      <c r="I38" s="875"/>
      <c r="J38" s="875"/>
      <c r="K38" s="875"/>
      <c r="L38" s="893"/>
    </row>
    <row r="39" spans="1:12" ht="16.5" customHeight="1">
      <c r="A39" s="866"/>
      <c r="B39" s="868"/>
      <c r="C39" s="869"/>
      <c r="D39" s="869"/>
      <c r="E39" s="870"/>
      <c r="F39" s="31"/>
      <c r="G39" s="874"/>
      <c r="H39" s="875"/>
      <c r="I39" s="875"/>
      <c r="J39" s="875"/>
      <c r="K39" s="875"/>
      <c r="L39" s="893"/>
    </row>
    <row r="40" spans="1:12" ht="16.5" customHeight="1">
      <c r="A40" s="866"/>
      <c r="B40" s="868"/>
      <c r="C40" s="869"/>
      <c r="D40" s="869"/>
      <c r="E40" s="870"/>
      <c r="F40" s="31"/>
      <c r="G40" s="874"/>
      <c r="H40" s="875"/>
      <c r="I40" s="875"/>
      <c r="J40" s="875"/>
      <c r="K40" s="875"/>
      <c r="L40" s="893"/>
    </row>
    <row r="41" spans="1:12" ht="16.5" customHeight="1">
      <c r="A41" s="866"/>
      <c r="B41" s="868"/>
      <c r="C41" s="869"/>
      <c r="D41" s="869"/>
      <c r="E41" s="870"/>
      <c r="F41" s="31"/>
      <c r="G41" s="874"/>
      <c r="H41" s="875"/>
      <c r="I41" s="875"/>
      <c r="J41" s="875"/>
      <c r="K41" s="875"/>
      <c r="L41" s="893"/>
    </row>
    <row r="42" spans="1:12" ht="16.5" customHeight="1">
      <c r="A42" s="866"/>
      <c r="B42" s="868"/>
      <c r="C42" s="869"/>
      <c r="D42" s="869"/>
      <c r="E42" s="870"/>
      <c r="F42" s="31"/>
      <c r="G42" s="874"/>
      <c r="H42" s="875"/>
      <c r="I42" s="875"/>
      <c r="J42" s="875"/>
      <c r="K42" s="875"/>
      <c r="L42" s="893"/>
    </row>
    <row r="43" spans="1:12" ht="16.5" customHeight="1" thickBot="1">
      <c r="A43" s="867"/>
      <c r="B43" s="871"/>
      <c r="C43" s="872"/>
      <c r="D43" s="872"/>
      <c r="E43" s="873"/>
      <c r="F43" s="31"/>
      <c r="G43" s="876"/>
      <c r="H43" s="877"/>
      <c r="I43" s="877"/>
      <c r="J43" s="877"/>
      <c r="K43" s="877"/>
      <c r="L43" s="894"/>
    </row>
  </sheetData>
  <mergeCells count="67">
    <mergeCell ref="B10:L11"/>
    <mergeCell ref="K13:L13"/>
    <mergeCell ref="G13:I13"/>
    <mergeCell ref="G24:I25"/>
    <mergeCell ref="G31:I31"/>
    <mergeCell ref="J24:J25"/>
    <mergeCell ref="E27:I27"/>
    <mergeCell ref="B31:E31"/>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32:A43"/>
    <mergeCell ref="B42:E43"/>
    <mergeCell ref="G42:I43"/>
    <mergeCell ref="G38:I39"/>
    <mergeCell ref="B38:E39"/>
    <mergeCell ref="B40:E41"/>
    <mergeCell ref="B34:E35"/>
    <mergeCell ref="G34:I35"/>
    <mergeCell ref="B36:E37"/>
    <mergeCell ref="G36:I37"/>
    <mergeCell ref="B32:E33"/>
  </mergeCells>
  <phoneticPr fontId="23" type="noConversion"/>
  <conditionalFormatting sqref="C4:D4">
    <cfRule type="cellIs" dxfId="13" priority="1" stopIfTrue="1" operator="equal">
      <formula>"C"</formula>
    </cfRule>
    <cfRule type="cellIs" dxfId="12" priority="2" stopIfTrue="1" operator="equal">
      <formula>"B2"</formula>
    </cfRule>
    <cfRule type="cellIs" dxfId="11" priority="3" stopIfTrue="1" operator="equal">
      <formula>"B1"</formula>
    </cfRule>
  </conditionalFormatting>
  <pageMargins left="0.70866141732283472" right="0.70866141732283472" top="0.74803149606299213" bottom="0.74803149606299213" header="0.31496062992125984" footer="0.31496062992125984"/>
  <pageSetup paperSize="256" scale="67" fitToHeight="0"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B2:Q144"/>
  <sheetViews>
    <sheetView showGridLines="0" zoomScale="80" zoomScaleNormal="80" workbookViewId="0">
      <selection activeCell="F9" sqref="F9"/>
    </sheetView>
  </sheetViews>
  <sheetFormatPr defaultColWidth="11" defaultRowHeight="15"/>
  <cols>
    <col min="1" max="1" width="11.42578125" customWidth="1"/>
    <col min="2" max="2" width="14.5703125" bestFit="1" customWidth="1"/>
    <col min="3" max="6" width="14.42578125" bestFit="1" customWidth="1"/>
    <col min="7" max="9" width="14.42578125" customWidth="1"/>
    <col min="10" max="10" width="29.5703125" bestFit="1" customWidth="1"/>
    <col min="11" max="11" width="23.85546875" bestFit="1" customWidth="1"/>
    <col min="12" max="12" width="53.5703125" bestFit="1" customWidth="1"/>
    <col min="13" max="14" width="11.42578125" customWidth="1"/>
    <col min="15" max="15" width="28.5703125" customWidth="1"/>
    <col min="16" max="16" width="46.42578125" customWidth="1"/>
  </cols>
  <sheetData>
    <row r="2" spans="2:17" ht="25.5" customHeight="1"/>
    <row r="3" spans="2:17" ht="36">
      <c r="B3" s="935" t="str">
        <f>'Detail despre Grant'!B3:J3</f>
        <v>Tabel Programatic de Evaluare:  Moldova - HIVAIDS / TB</v>
      </c>
      <c r="C3" s="935"/>
      <c r="D3" s="935"/>
      <c r="E3" s="935"/>
      <c r="F3" s="935"/>
      <c r="G3" s="935"/>
      <c r="H3" s="935"/>
      <c r="I3" s="935"/>
      <c r="J3" s="935"/>
      <c r="K3" s="1"/>
    </row>
    <row r="6" spans="2:17" ht="18.75">
      <c r="B6" s="934" t="s">
        <v>245</v>
      </c>
      <c r="C6" s="934"/>
      <c r="D6" s="934"/>
      <c r="E6" s="934"/>
      <c r="F6" s="934"/>
      <c r="G6" s="934"/>
      <c r="H6" s="934"/>
      <c r="I6" s="934"/>
      <c r="J6" s="934"/>
    </row>
    <row r="8" spans="2:17" ht="18.75">
      <c r="B8" s="44" t="s">
        <v>13</v>
      </c>
      <c r="C8" s="44" t="s">
        <v>16</v>
      </c>
      <c r="D8" s="44" t="s">
        <v>17</v>
      </c>
      <c r="E8" s="44" t="s">
        <v>22</v>
      </c>
      <c r="F8" s="44" t="s">
        <v>229</v>
      </c>
      <c r="G8" s="44" t="s">
        <v>431</v>
      </c>
      <c r="H8" s="44" t="s">
        <v>432</v>
      </c>
      <c r="I8" s="44" t="s">
        <v>213</v>
      </c>
      <c r="J8" s="44" t="s">
        <v>232</v>
      </c>
      <c r="K8" s="45" t="s">
        <v>52</v>
      </c>
      <c r="L8" s="45" t="s">
        <v>78</v>
      </c>
      <c r="O8" s="19"/>
      <c r="P8" s="19"/>
      <c r="Q8" s="19"/>
    </row>
    <row r="9" spans="2:17">
      <c r="B9" s="55" t="s">
        <v>268</v>
      </c>
      <c r="C9" s="55" t="s">
        <v>268</v>
      </c>
      <c r="D9" s="55" t="s">
        <v>268</v>
      </c>
      <c r="E9" s="55" t="s">
        <v>268</v>
      </c>
      <c r="F9" s="55" t="s">
        <v>268</v>
      </c>
      <c r="G9" s="55"/>
      <c r="H9" s="55"/>
      <c r="I9" s="55" t="s">
        <v>268</v>
      </c>
      <c r="J9" s="55" t="s">
        <v>268</v>
      </c>
      <c r="K9" s="218" t="s">
        <v>268</v>
      </c>
      <c r="L9" s="55" t="s">
        <v>268</v>
      </c>
      <c r="O9" s="19"/>
      <c r="P9" s="19"/>
      <c r="Q9" s="19"/>
    </row>
    <row r="10" spans="2:17">
      <c r="B10" s="39" t="s">
        <v>12</v>
      </c>
      <c r="C10" s="39" t="s">
        <v>7</v>
      </c>
      <c r="D10" s="39" t="s">
        <v>5</v>
      </c>
      <c r="E10" s="39" t="s">
        <v>6</v>
      </c>
      <c r="F10" s="39" t="s">
        <v>60</v>
      </c>
      <c r="G10" s="328">
        <v>43101</v>
      </c>
      <c r="H10" s="328">
        <v>43281</v>
      </c>
      <c r="I10" s="221" t="s">
        <v>24</v>
      </c>
      <c r="J10" s="42" t="s">
        <v>29</v>
      </c>
      <c r="K10" s="23" t="s">
        <v>235</v>
      </c>
      <c r="L10" s="55" t="s">
        <v>79</v>
      </c>
      <c r="O10" s="19"/>
      <c r="P10" s="19"/>
      <c r="Q10" s="19"/>
    </row>
    <row r="11" spans="2:17">
      <c r="B11" s="39" t="s">
        <v>14</v>
      </c>
      <c r="C11" s="39" t="s">
        <v>2</v>
      </c>
      <c r="D11" s="39" t="s">
        <v>8</v>
      </c>
      <c r="E11" s="39" t="s">
        <v>4</v>
      </c>
      <c r="F11" s="39" t="s">
        <v>61</v>
      </c>
      <c r="G11" s="328">
        <v>43282</v>
      </c>
      <c r="H11" s="328">
        <v>43465</v>
      </c>
      <c r="I11" s="221" t="s">
        <v>25</v>
      </c>
      <c r="J11" s="42" t="s">
        <v>30</v>
      </c>
      <c r="K11" s="23" t="s">
        <v>236</v>
      </c>
      <c r="L11" s="55" t="s">
        <v>80</v>
      </c>
      <c r="O11" s="19"/>
      <c r="P11" s="19"/>
      <c r="Q11" s="19"/>
    </row>
    <row r="12" spans="2:17">
      <c r="B12" s="39" t="s">
        <v>15</v>
      </c>
      <c r="D12" s="39" t="s">
        <v>9</v>
      </c>
      <c r="E12" s="39" t="s">
        <v>10</v>
      </c>
      <c r="F12" s="39" t="s">
        <v>62</v>
      </c>
      <c r="G12" s="328">
        <v>43466</v>
      </c>
      <c r="H12" s="328">
        <v>43646</v>
      </c>
      <c r="I12" s="221" t="s">
        <v>26</v>
      </c>
      <c r="J12" s="42" t="s">
        <v>31</v>
      </c>
      <c r="K12" s="23" t="s">
        <v>237</v>
      </c>
      <c r="L12" s="55" t="s">
        <v>81</v>
      </c>
      <c r="O12" s="119"/>
      <c r="P12" s="19"/>
      <c r="Q12" s="19"/>
    </row>
    <row r="13" spans="2:17">
      <c r="B13" s="39" t="s">
        <v>50</v>
      </c>
      <c r="D13" s="39" t="s">
        <v>11</v>
      </c>
      <c r="E13" s="40"/>
      <c r="F13" s="39" t="s">
        <v>63</v>
      </c>
      <c r="G13" s="328">
        <v>43647</v>
      </c>
      <c r="H13" s="328">
        <v>43830</v>
      </c>
      <c r="I13" s="221" t="s">
        <v>27</v>
      </c>
      <c r="J13" s="42" t="s">
        <v>32</v>
      </c>
      <c r="K13" s="23" t="s">
        <v>238</v>
      </c>
      <c r="L13" s="55" t="s">
        <v>82</v>
      </c>
      <c r="O13" s="119"/>
      <c r="P13" s="19"/>
      <c r="Q13" s="19"/>
    </row>
    <row r="14" spans="2:17">
      <c r="B14" s="39" t="s">
        <v>51</v>
      </c>
      <c r="D14" s="39" t="s">
        <v>18</v>
      </c>
      <c r="F14" s="39" t="s">
        <v>70</v>
      </c>
      <c r="G14" s="328">
        <v>43831</v>
      </c>
      <c r="H14" s="328">
        <v>44012</v>
      </c>
      <c r="I14" s="221" t="s">
        <v>28</v>
      </c>
      <c r="J14" s="42" t="s">
        <v>33</v>
      </c>
      <c r="K14" s="23" t="s">
        <v>214</v>
      </c>
      <c r="L14" s="55" t="s">
        <v>83</v>
      </c>
      <c r="O14" s="119"/>
      <c r="P14" s="19"/>
      <c r="Q14" s="19"/>
    </row>
    <row r="15" spans="2:17">
      <c r="D15" s="39" t="s">
        <v>19</v>
      </c>
      <c r="F15" s="39" t="s">
        <v>71</v>
      </c>
      <c r="G15" s="328">
        <v>44013</v>
      </c>
      <c r="H15" s="328">
        <v>44196</v>
      </c>
      <c r="J15" s="42" t="s">
        <v>34</v>
      </c>
      <c r="K15" s="23" t="s">
        <v>40</v>
      </c>
      <c r="L15" s="55" t="s">
        <v>84</v>
      </c>
      <c r="O15" s="119"/>
      <c r="P15" s="19"/>
      <c r="Q15" s="19"/>
    </row>
    <row r="16" spans="2:17">
      <c r="D16" s="39" t="s">
        <v>20</v>
      </c>
      <c r="F16" s="39" t="s">
        <v>72</v>
      </c>
      <c r="G16" s="328" t="s">
        <v>433</v>
      </c>
      <c r="H16" s="328" t="s">
        <v>433</v>
      </c>
      <c r="J16" s="42" t="s">
        <v>35</v>
      </c>
      <c r="K16" s="23" t="s">
        <v>41</v>
      </c>
      <c r="L16" s="55" t="s">
        <v>85</v>
      </c>
      <c r="O16" s="119"/>
      <c r="P16" s="19"/>
      <c r="Q16" s="19"/>
    </row>
    <row r="17" spans="4:17">
      <c r="D17" s="39" t="s">
        <v>21</v>
      </c>
      <c r="F17" s="39" t="s">
        <v>73</v>
      </c>
      <c r="G17" s="328" t="s">
        <v>433</v>
      </c>
      <c r="H17" s="328" t="s">
        <v>433</v>
      </c>
      <c r="J17" s="42" t="s">
        <v>36</v>
      </c>
      <c r="K17" s="23" t="s">
        <v>42</v>
      </c>
      <c r="L17" s="55" t="s">
        <v>86</v>
      </c>
      <c r="O17" s="119"/>
      <c r="P17" s="19"/>
      <c r="Q17" s="19"/>
    </row>
    <row r="18" spans="4:17">
      <c r="D18" s="39" t="s">
        <v>3</v>
      </c>
      <c r="F18" s="39" t="s">
        <v>74</v>
      </c>
      <c r="G18" s="328" t="s">
        <v>433</v>
      </c>
      <c r="H18" s="328" t="s">
        <v>433</v>
      </c>
      <c r="J18" s="42" t="s">
        <v>37</v>
      </c>
      <c r="K18" s="23" t="s">
        <v>43</v>
      </c>
      <c r="L18" s="55" t="s">
        <v>87</v>
      </c>
      <c r="O18" s="119"/>
      <c r="P18" s="19"/>
      <c r="Q18" s="19"/>
    </row>
    <row r="19" spans="4:17">
      <c r="D19" s="220" t="s">
        <v>267</v>
      </c>
      <c r="F19" s="39" t="s">
        <v>75</v>
      </c>
      <c r="G19" s="328" t="s">
        <v>433</v>
      </c>
      <c r="H19" s="328" t="s">
        <v>433</v>
      </c>
      <c r="J19" s="42" t="s">
        <v>38</v>
      </c>
      <c r="K19" s="23" t="s">
        <v>44</v>
      </c>
      <c r="L19" s="55" t="s">
        <v>88</v>
      </c>
      <c r="O19" s="119"/>
      <c r="P19" s="19"/>
      <c r="Q19" s="19"/>
    </row>
    <row r="20" spans="4:17">
      <c r="D20" s="41"/>
      <c r="F20" s="39" t="s">
        <v>76</v>
      </c>
      <c r="G20" s="328" t="s">
        <v>433</v>
      </c>
      <c r="H20" s="328" t="s">
        <v>433</v>
      </c>
      <c r="J20" s="42" t="s">
        <v>211</v>
      </c>
      <c r="K20" s="23" t="s">
        <v>45</v>
      </c>
      <c r="L20" s="55" t="s">
        <v>89</v>
      </c>
      <c r="O20" s="19"/>
      <c r="P20" s="19"/>
      <c r="Q20" s="19"/>
    </row>
    <row r="21" spans="4:17">
      <c r="D21" s="43"/>
      <c r="F21" s="39" t="s">
        <v>230</v>
      </c>
      <c r="G21" s="328" t="s">
        <v>433</v>
      </c>
      <c r="H21" s="328" t="s">
        <v>433</v>
      </c>
      <c r="J21" s="43"/>
      <c r="K21" s="23" t="s">
        <v>47</v>
      </c>
      <c r="L21" s="55" t="s">
        <v>90</v>
      </c>
      <c r="O21" s="19"/>
      <c r="P21" s="19"/>
      <c r="Q21" s="19"/>
    </row>
    <row r="22" spans="4:17">
      <c r="J22" s="43"/>
      <c r="K22" s="23" t="s">
        <v>48</v>
      </c>
      <c r="L22" s="55" t="s">
        <v>91</v>
      </c>
      <c r="O22" s="19"/>
      <c r="P22" s="19"/>
      <c r="Q22" s="19"/>
    </row>
    <row r="23" spans="4:17">
      <c r="K23" s="23" t="s">
        <v>46</v>
      </c>
      <c r="L23" s="55" t="s">
        <v>92</v>
      </c>
      <c r="O23" s="19"/>
      <c r="P23" s="19"/>
      <c r="Q23" s="19"/>
    </row>
    <row r="24" spans="4:17">
      <c r="K24" s="23" t="s">
        <v>240</v>
      </c>
      <c r="L24" s="55" t="s">
        <v>93</v>
      </c>
      <c r="O24" s="19"/>
      <c r="P24" s="19"/>
      <c r="Q24" s="19"/>
    </row>
    <row r="25" spans="4:17">
      <c r="K25" s="30"/>
      <c r="L25" s="55" t="s">
        <v>94</v>
      </c>
    </row>
    <row r="26" spans="4:17">
      <c r="K26" s="23" t="s">
        <v>241</v>
      </c>
      <c r="L26" s="55" t="s">
        <v>95</v>
      </c>
    </row>
    <row r="27" spans="4:17">
      <c r="K27" s="23" t="s">
        <v>239</v>
      </c>
      <c r="L27" s="55" t="s">
        <v>96</v>
      </c>
    </row>
    <row r="28" spans="4:17">
      <c r="K28" s="30"/>
      <c r="L28" s="55" t="s">
        <v>97</v>
      </c>
    </row>
    <row r="29" spans="4:17">
      <c r="K29" s="30"/>
      <c r="L29" s="55" t="s">
        <v>98</v>
      </c>
    </row>
    <row r="30" spans="4:17">
      <c r="K30" s="30"/>
      <c r="L30" s="55" t="s">
        <v>99</v>
      </c>
    </row>
    <row r="31" spans="4:17">
      <c r="L31" s="55" t="s">
        <v>100</v>
      </c>
    </row>
    <row r="32" spans="4:17">
      <c r="L32" s="55" t="s">
        <v>101</v>
      </c>
    </row>
    <row r="33" spans="12:12">
      <c r="L33" s="55" t="s">
        <v>102</v>
      </c>
    </row>
    <row r="34" spans="12:12">
      <c r="L34" s="55" t="s">
        <v>103</v>
      </c>
    </row>
    <row r="35" spans="12:12">
      <c r="L35" s="55" t="s">
        <v>104</v>
      </c>
    </row>
    <row r="36" spans="12:12">
      <c r="L36" s="55" t="s">
        <v>104</v>
      </c>
    </row>
    <row r="37" spans="12:12">
      <c r="L37" s="55" t="s">
        <v>105</v>
      </c>
    </row>
    <row r="38" spans="12:12">
      <c r="L38" s="55" t="s">
        <v>106</v>
      </c>
    </row>
    <row r="39" spans="12:12">
      <c r="L39" s="55" t="s">
        <v>107</v>
      </c>
    </row>
    <row r="40" spans="12:12">
      <c r="L40" s="55" t="s">
        <v>108</v>
      </c>
    </row>
    <row r="41" spans="12:12">
      <c r="L41" s="55" t="s">
        <v>109</v>
      </c>
    </row>
    <row r="42" spans="12:12">
      <c r="L42" s="55" t="s">
        <v>110</v>
      </c>
    </row>
    <row r="43" spans="12:12">
      <c r="L43" s="55" t="s">
        <v>111</v>
      </c>
    </row>
    <row r="44" spans="12:12">
      <c r="L44" s="55" t="s">
        <v>112</v>
      </c>
    </row>
    <row r="45" spans="12:12">
      <c r="L45" s="55" t="s">
        <v>113</v>
      </c>
    </row>
    <row r="46" spans="12:12">
      <c r="L46" s="55" t="s">
        <v>114</v>
      </c>
    </row>
    <row r="47" spans="12:12">
      <c r="L47" s="55" t="s">
        <v>115</v>
      </c>
    </row>
    <row r="48" spans="12:12">
      <c r="L48" s="55" t="s">
        <v>116</v>
      </c>
    </row>
    <row r="49" spans="12:12">
      <c r="L49" s="55" t="s">
        <v>117</v>
      </c>
    </row>
    <row r="50" spans="12:12">
      <c r="L50" s="55" t="s">
        <v>118</v>
      </c>
    </row>
    <row r="51" spans="12:12">
      <c r="L51" s="55" t="s">
        <v>119</v>
      </c>
    </row>
    <row r="52" spans="12:12">
      <c r="L52" s="55" t="s">
        <v>120</v>
      </c>
    </row>
    <row r="53" spans="12:12">
      <c r="L53" s="55" t="s">
        <v>121</v>
      </c>
    </row>
    <row r="54" spans="12:12">
      <c r="L54" s="55" t="s">
        <v>122</v>
      </c>
    </row>
    <row r="55" spans="12:12">
      <c r="L55" s="55" t="s">
        <v>123</v>
      </c>
    </row>
    <row r="56" spans="12:12">
      <c r="L56" s="55" t="s">
        <v>124</v>
      </c>
    </row>
    <row r="57" spans="12:12">
      <c r="L57" s="55" t="s">
        <v>125</v>
      </c>
    </row>
    <row r="58" spans="12:12">
      <c r="L58" s="55" t="s">
        <v>126</v>
      </c>
    </row>
    <row r="59" spans="12:12">
      <c r="L59" s="55" t="s">
        <v>127</v>
      </c>
    </row>
    <row r="60" spans="12:12">
      <c r="L60" s="55" t="s">
        <v>128</v>
      </c>
    </row>
    <row r="61" spans="12:12">
      <c r="L61" s="55" t="s">
        <v>129</v>
      </c>
    </row>
    <row r="62" spans="12:12">
      <c r="L62" s="55" t="s">
        <v>130</v>
      </c>
    </row>
    <row r="63" spans="12:12">
      <c r="L63" s="55" t="s">
        <v>131</v>
      </c>
    </row>
    <row r="64" spans="12:12">
      <c r="L64" s="55" t="s">
        <v>132</v>
      </c>
    </row>
    <row r="65" spans="12:12">
      <c r="L65" s="55" t="s">
        <v>133</v>
      </c>
    </row>
    <row r="66" spans="12:12">
      <c r="L66" s="55" t="s">
        <v>134</v>
      </c>
    </row>
    <row r="67" spans="12:12">
      <c r="L67" s="55" t="s">
        <v>135</v>
      </c>
    </row>
    <row r="68" spans="12:12">
      <c r="L68" s="55" t="s">
        <v>136</v>
      </c>
    </row>
    <row r="69" spans="12:12">
      <c r="L69" s="55" t="s">
        <v>137</v>
      </c>
    </row>
    <row r="70" spans="12:12">
      <c r="L70" s="55" t="s">
        <v>138</v>
      </c>
    </row>
    <row r="71" spans="12:12">
      <c r="L71" s="55" t="s">
        <v>139</v>
      </c>
    </row>
    <row r="72" spans="12:12">
      <c r="L72" s="55" t="s">
        <v>140</v>
      </c>
    </row>
    <row r="73" spans="12:12">
      <c r="L73" s="55" t="s">
        <v>141</v>
      </c>
    </row>
    <row r="74" spans="12:12">
      <c r="L74" s="55" t="s">
        <v>142</v>
      </c>
    </row>
    <row r="75" spans="12:12">
      <c r="L75" s="55" t="s">
        <v>143</v>
      </c>
    </row>
    <row r="76" spans="12:12">
      <c r="L76" s="55" t="s">
        <v>144</v>
      </c>
    </row>
    <row r="77" spans="12:12">
      <c r="L77" s="55" t="s">
        <v>145</v>
      </c>
    </row>
    <row r="78" spans="12:12">
      <c r="L78" s="55" t="s">
        <v>146</v>
      </c>
    </row>
    <row r="79" spans="12:12">
      <c r="L79" s="55" t="s">
        <v>147</v>
      </c>
    </row>
    <row r="80" spans="12:12">
      <c r="L80" s="55" t="s">
        <v>148</v>
      </c>
    </row>
    <row r="81" spans="12:12">
      <c r="L81" s="55" t="s">
        <v>149</v>
      </c>
    </row>
    <row r="82" spans="12:12">
      <c r="L82" s="55" t="s">
        <v>150</v>
      </c>
    </row>
    <row r="83" spans="12:12">
      <c r="L83" s="55" t="s">
        <v>151</v>
      </c>
    </row>
    <row r="84" spans="12:12">
      <c r="L84" s="55" t="s">
        <v>152</v>
      </c>
    </row>
    <row r="85" spans="12:12">
      <c r="L85" s="55" t="s">
        <v>153</v>
      </c>
    </row>
    <row r="86" spans="12:12">
      <c r="L86" s="55" t="s">
        <v>154</v>
      </c>
    </row>
    <row r="87" spans="12:12">
      <c r="L87" s="55" t="s">
        <v>155</v>
      </c>
    </row>
    <row r="88" spans="12:12">
      <c r="L88" s="55" t="s">
        <v>156</v>
      </c>
    </row>
    <row r="89" spans="12:12">
      <c r="L89" s="55" t="s">
        <v>157</v>
      </c>
    </row>
    <row r="90" spans="12:12">
      <c r="L90" s="55" t="s">
        <v>158</v>
      </c>
    </row>
    <row r="91" spans="12:12">
      <c r="L91" s="55" t="s">
        <v>159</v>
      </c>
    </row>
    <row r="92" spans="12:12">
      <c r="L92" s="55" t="s">
        <v>160</v>
      </c>
    </row>
    <row r="93" spans="12:12">
      <c r="L93" s="55" t="s">
        <v>161</v>
      </c>
    </row>
    <row r="94" spans="12:12">
      <c r="L94" s="55" t="s">
        <v>162</v>
      </c>
    </row>
    <row r="95" spans="12:12">
      <c r="L95" s="55" t="s">
        <v>163</v>
      </c>
    </row>
    <row r="96" spans="12:12">
      <c r="L96" s="55" t="s">
        <v>164</v>
      </c>
    </row>
    <row r="97" spans="12:12">
      <c r="L97" s="55" t="s">
        <v>165</v>
      </c>
    </row>
    <row r="98" spans="12:12">
      <c r="L98" s="55" t="s">
        <v>166</v>
      </c>
    </row>
    <row r="99" spans="12:12">
      <c r="L99" s="55" t="s">
        <v>167</v>
      </c>
    </row>
    <row r="100" spans="12:12">
      <c r="L100" s="55" t="s">
        <v>168</v>
      </c>
    </row>
    <row r="101" spans="12:12">
      <c r="L101" s="55" t="s">
        <v>169</v>
      </c>
    </row>
    <row r="102" spans="12:12">
      <c r="L102" s="55" t="s">
        <v>170</v>
      </c>
    </row>
    <row r="103" spans="12:12">
      <c r="L103" s="55" t="s">
        <v>171</v>
      </c>
    </row>
    <row r="104" spans="12:12">
      <c r="L104" s="55" t="s">
        <v>172</v>
      </c>
    </row>
    <row r="105" spans="12:12">
      <c r="L105" s="55" t="s">
        <v>173</v>
      </c>
    </row>
    <row r="106" spans="12:12">
      <c r="L106" s="55" t="s">
        <v>174</v>
      </c>
    </row>
    <row r="107" spans="12:12">
      <c r="L107" s="55" t="s">
        <v>175</v>
      </c>
    </row>
    <row r="108" spans="12:12">
      <c r="L108" s="55" t="s">
        <v>176</v>
      </c>
    </row>
    <row r="109" spans="12:12">
      <c r="L109" s="55" t="s">
        <v>177</v>
      </c>
    </row>
    <row r="110" spans="12:12">
      <c r="L110" s="55" t="s">
        <v>178</v>
      </c>
    </row>
    <row r="111" spans="12:12">
      <c r="L111" s="55" t="s">
        <v>49</v>
      </c>
    </row>
    <row r="112" spans="12:12">
      <c r="L112" s="55" t="s">
        <v>179</v>
      </c>
    </row>
    <row r="113" spans="12:12">
      <c r="L113" s="55" t="s">
        <v>180</v>
      </c>
    </row>
    <row r="114" spans="12:12">
      <c r="L114" s="55" t="s">
        <v>181</v>
      </c>
    </row>
    <row r="115" spans="12:12">
      <c r="L115" s="55" t="s">
        <v>182</v>
      </c>
    </row>
    <row r="116" spans="12:12">
      <c r="L116" s="55" t="s">
        <v>183</v>
      </c>
    </row>
    <row r="117" spans="12:12">
      <c r="L117" s="55" t="s">
        <v>184</v>
      </c>
    </row>
    <row r="118" spans="12:12">
      <c r="L118" s="55" t="s">
        <v>185</v>
      </c>
    </row>
    <row r="119" spans="12:12">
      <c r="L119" s="55" t="s">
        <v>186</v>
      </c>
    </row>
    <row r="120" spans="12:12">
      <c r="L120" s="55" t="s">
        <v>187</v>
      </c>
    </row>
    <row r="121" spans="12:12">
      <c r="L121" s="55" t="s">
        <v>188</v>
      </c>
    </row>
    <row r="122" spans="12:12">
      <c r="L122" s="55" t="s">
        <v>189</v>
      </c>
    </row>
    <row r="123" spans="12:12">
      <c r="L123" s="55" t="s">
        <v>190</v>
      </c>
    </row>
    <row r="124" spans="12:12">
      <c r="L124" s="55" t="s">
        <v>191</v>
      </c>
    </row>
    <row r="125" spans="12:12">
      <c r="L125" s="55" t="s">
        <v>192</v>
      </c>
    </row>
    <row r="126" spans="12:12">
      <c r="L126" s="55" t="s">
        <v>193</v>
      </c>
    </row>
    <row r="127" spans="12:12">
      <c r="L127" s="55" t="s">
        <v>194</v>
      </c>
    </row>
    <row r="128" spans="12:12">
      <c r="L128" s="55" t="s">
        <v>195</v>
      </c>
    </row>
    <row r="129" spans="12:12">
      <c r="L129" s="55" t="s">
        <v>196</v>
      </c>
    </row>
    <row r="130" spans="12:12">
      <c r="L130" s="55" t="s">
        <v>197</v>
      </c>
    </row>
    <row r="131" spans="12:12">
      <c r="L131" s="55" t="s">
        <v>198</v>
      </c>
    </row>
    <row r="132" spans="12:12">
      <c r="L132" s="55" t="s">
        <v>199</v>
      </c>
    </row>
    <row r="133" spans="12:12">
      <c r="L133" s="55" t="s">
        <v>200</v>
      </c>
    </row>
    <row r="134" spans="12:12">
      <c r="L134" s="55" t="s">
        <v>201</v>
      </c>
    </row>
    <row r="135" spans="12:12">
      <c r="L135" s="55" t="s">
        <v>202</v>
      </c>
    </row>
    <row r="136" spans="12:12">
      <c r="L136" s="55" t="s">
        <v>203</v>
      </c>
    </row>
    <row r="137" spans="12:12">
      <c r="L137" s="55" t="s">
        <v>204</v>
      </c>
    </row>
    <row r="138" spans="12:12">
      <c r="L138" s="55" t="s">
        <v>205</v>
      </c>
    </row>
    <row r="139" spans="12:12">
      <c r="L139" s="55" t="s">
        <v>206</v>
      </c>
    </row>
    <row r="140" spans="12:12">
      <c r="L140" s="55" t="s">
        <v>207</v>
      </c>
    </row>
    <row r="141" spans="12:12">
      <c r="L141" s="55" t="s">
        <v>208</v>
      </c>
    </row>
    <row r="142" spans="12:12">
      <c r="L142" s="55" t="s">
        <v>209</v>
      </c>
    </row>
    <row r="143" spans="12:12">
      <c r="L143" s="55" t="s">
        <v>210</v>
      </c>
    </row>
    <row r="144" spans="12:12">
      <c r="L144" s="216"/>
    </row>
  </sheetData>
  <mergeCells count="2">
    <mergeCell ref="B3:J3"/>
    <mergeCell ref="B6:J6"/>
  </mergeCells>
  <phoneticPr fontId="23" type="noConversion"/>
  <dataValidations count="1">
    <dataValidation type="list" allowBlank="1" showInputMessage="1" showErrorMessage="1" sqref="O28" xr:uid="{00000000-0002-0000-0900-000000000000}">
      <formula1>$L$10:$L$143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G25"/>
  <sheetViews>
    <sheetView zoomScale="85" zoomScaleNormal="85" workbookViewId="0">
      <pane xSplit="1" ySplit="1" topLeftCell="B56" activePane="bottomRight" state="frozen"/>
      <selection pane="topRight" activeCell="B1" sqref="B1"/>
      <selection pane="bottomLeft" activeCell="A2" sqref="A2"/>
      <selection pane="bottomRight" activeCell="D58" sqref="D58:F110"/>
    </sheetView>
  </sheetViews>
  <sheetFormatPr defaultRowHeight="15"/>
  <cols>
    <col min="2" max="2" width="20.140625" bestFit="1" customWidth="1"/>
    <col min="3" max="3" width="13.42578125" customWidth="1"/>
    <col min="4" max="4" width="45.140625" customWidth="1"/>
    <col min="5" max="5" width="96.140625" customWidth="1"/>
    <col min="6" max="6" width="33.28515625" bestFit="1" customWidth="1"/>
    <col min="7" max="7" width="90.5703125" bestFit="1" customWidth="1"/>
  </cols>
  <sheetData>
    <row r="1" spans="1:7">
      <c r="A1" s="334" t="s">
        <v>462</v>
      </c>
      <c r="B1" s="352" t="s">
        <v>460</v>
      </c>
      <c r="C1" s="334" t="s">
        <v>461</v>
      </c>
      <c r="D1" s="334" t="s">
        <v>250</v>
      </c>
      <c r="E1" s="334" t="s">
        <v>459</v>
      </c>
      <c r="F1" s="334" t="s">
        <v>404</v>
      </c>
      <c r="G1" s="353" t="s">
        <v>405</v>
      </c>
    </row>
    <row r="2" spans="1:7" ht="45">
      <c r="A2" s="327">
        <v>1</v>
      </c>
      <c r="B2" s="351" t="s">
        <v>443</v>
      </c>
      <c r="C2" s="30" t="s">
        <v>15</v>
      </c>
      <c r="D2" s="408" t="s">
        <v>467</v>
      </c>
      <c r="E2" s="409" t="s">
        <v>480</v>
      </c>
      <c r="F2" s="410" t="s">
        <v>406</v>
      </c>
      <c r="G2" s="411" t="s">
        <v>465</v>
      </c>
    </row>
    <row r="3" spans="1:7" ht="62.25" customHeight="1">
      <c r="A3" s="327">
        <v>2</v>
      </c>
      <c r="B3" s="351" t="s">
        <v>443</v>
      </c>
      <c r="C3" s="30" t="s">
        <v>15</v>
      </c>
      <c r="D3" s="408" t="s">
        <v>468</v>
      </c>
      <c r="E3" s="409" t="s">
        <v>472</v>
      </c>
      <c r="F3" s="410" t="s">
        <v>406</v>
      </c>
      <c r="G3" s="411" t="s">
        <v>465</v>
      </c>
    </row>
    <row r="4" spans="1:7" ht="57">
      <c r="A4" s="327">
        <v>3</v>
      </c>
      <c r="B4" s="351" t="s">
        <v>443</v>
      </c>
      <c r="C4" s="30" t="s">
        <v>458</v>
      </c>
      <c r="D4" s="346" t="s">
        <v>439</v>
      </c>
      <c r="E4" s="347" t="s">
        <v>471</v>
      </c>
      <c r="F4" s="348" t="s">
        <v>406</v>
      </c>
      <c r="G4" s="336" t="s">
        <v>470</v>
      </c>
    </row>
    <row r="5" spans="1:7" ht="42.75">
      <c r="A5" s="327">
        <v>4</v>
      </c>
      <c r="B5" s="351" t="s">
        <v>443</v>
      </c>
      <c r="C5" s="30" t="s">
        <v>458</v>
      </c>
      <c r="D5" s="346" t="s">
        <v>473</v>
      </c>
      <c r="E5" s="347" t="s">
        <v>469</v>
      </c>
      <c r="F5" s="348" t="s">
        <v>440</v>
      </c>
      <c r="G5" s="414" t="s">
        <v>504</v>
      </c>
    </row>
    <row r="6" spans="1:7" ht="30">
      <c r="A6" s="327">
        <v>5</v>
      </c>
      <c r="B6" s="351" t="s">
        <v>443</v>
      </c>
      <c r="C6" s="30" t="s">
        <v>458</v>
      </c>
      <c r="D6" s="346" t="s">
        <v>474</v>
      </c>
      <c r="E6" s="347" t="s">
        <v>441</v>
      </c>
      <c r="F6" s="348" t="s">
        <v>440</v>
      </c>
      <c r="G6" s="414" t="s">
        <v>505</v>
      </c>
    </row>
    <row r="7" spans="1:7" ht="30">
      <c r="A7" s="327">
        <v>6</v>
      </c>
      <c r="B7" s="351" t="s">
        <v>443</v>
      </c>
      <c r="C7" s="30" t="s">
        <v>458</v>
      </c>
      <c r="D7" s="346" t="s">
        <v>475</v>
      </c>
      <c r="E7" s="349" t="s">
        <v>442</v>
      </c>
      <c r="F7" s="350" t="s">
        <v>440</v>
      </c>
      <c r="G7" s="414" t="s">
        <v>505</v>
      </c>
    </row>
    <row r="8" spans="1:7" ht="57">
      <c r="A8" s="327">
        <v>7</v>
      </c>
      <c r="B8" s="351" t="s">
        <v>449</v>
      </c>
      <c r="C8" s="30" t="s">
        <v>15</v>
      </c>
      <c r="D8" s="408" t="s">
        <v>476</v>
      </c>
      <c r="E8" s="410" t="s">
        <v>478</v>
      </c>
      <c r="F8" s="410" t="s">
        <v>415</v>
      </c>
      <c r="G8" s="411" t="s">
        <v>465</v>
      </c>
    </row>
    <row r="9" spans="1:7" ht="57">
      <c r="A9" s="327">
        <v>8</v>
      </c>
      <c r="B9" s="351" t="s">
        <v>449</v>
      </c>
      <c r="C9" s="30" t="s">
        <v>15</v>
      </c>
      <c r="D9" s="408" t="s">
        <v>477</v>
      </c>
      <c r="E9" s="410" t="s">
        <v>479</v>
      </c>
      <c r="F9" s="410" t="s">
        <v>415</v>
      </c>
      <c r="G9" s="411" t="s">
        <v>465</v>
      </c>
    </row>
    <row r="10" spans="1:7" ht="57">
      <c r="A10" s="327">
        <v>9</v>
      </c>
      <c r="B10" s="351" t="s">
        <v>449</v>
      </c>
      <c r="C10" s="30" t="s">
        <v>15</v>
      </c>
      <c r="D10" s="408" t="s">
        <v>481</v>
      </c>
      <c r="E10" s="410" t="s">
        <v>482</v>
      </c>
      <c r="F10" s="410" t="s">
        <v>406</v>
      </c>
      <c r="G10" s="411" t="s">
        <v>483</v>
      </c>
    </row>
    <row r="11" spans="1:7" ht="85.5">
      <c r="A11" s="327">
        <v>10</v>
      </c>
      <c r="B11" s="351" t="s">
        <v>449</v>
      </c>
      <c r="C11" s="30" t="s">
        <v>458</v>
      </c>
      <c r="D11" s="346" t="s">
        <v>484</v>
      </c>
      <c r="E11" s="348" t="s">
        <v>485</v>
      </c>
      <c r="F11" s="348" t="s">
        <v>406</v>
      </c>
      <c r="G11" s="336" t="s">
        <v>503</v>
      </c>
    </row>
    <row r="12" spans="1:7" ht="60">
      <c r="A12" s="327">
        <v>11</v>
      </c>
      <c r="B12" s="351" t="s">
        <v>449</v>
      </c>
      <c r="C12" s="30" t="s">
        <v>458</v>
      </c>
      <c r="D12" s="346" t="s">
        <v>444</v>
      </c>
      <c r="E12" s="348" t="s">
        <v>464</v>
      </c>
      <c r="F12" s="348" t="s">
        <v>440</v>
      </c>
      <c r="G12" s="414" t="s">
        <v>505</v>
      </c>
    </row>
    <row r="13" spans="1:7" ht="45">
      <c r="A13" s="327">
        <v>12</v>
      </c>
      <c r="B13" s="351" t="s">
        <v>449</v>
      </c>
      <c r="C13" s="30" t="s">
        <v>458</v>
      </c>
      <c r="D13" s="346" t="s">
        <v>445</v>
      </c>
      <c r="E13" s="348" t="s">
        <v>447</v>
      </c>
      <c r="F13" s="348" t="s">
        <v>440</v>
      </c>
      <c r="G13" s="414" t="s">
        <v>505</v>
      </c>
    </row>
    <row r="14" spans="1:7" ht="60">
      <c r="A14" s="327">
        <v>13</v>
      </c>
      <c r="B14" s="351" t="s">
        <v>449</v>
      </c>
      <c r="C14" s="30" t="s">
        <v>458</v>
      </c>
      <c r="D14" s="346" t="s">
        <v>446</v>
      </c>
      <c r="E14" s="350" t="s">
        <v>448</v>
      </c>
      <c r="F14" s="350" t="s">
        <v>440</v>
      </c>
      <c r="G14" s="414" t="s">
        <v>505</v>
      </c>
    </row>
    <row r="15" spans="1:7" ht="45">
      <c r="A15" s="327">
        <v>14</v>
      </c>
      <c r="B15" s="351" t="s">
        <v>457</v>
      </c>
      <c r="C15" s="30" t="s">
        <v>15</v>
      </c>
      <c r="D15" s="408" t="s">
        <v>486</v>
      </c>
      <c r="E15" s="410" t="s">
        <v>489</v>
      </c>
      <c r="F15" s="348" t="s">
        <v>406</v>
      </c>
      <c r="G15" s="411" t="s">
        <v>424</v>
      </c>
    </row>
    <row r="16" spans="1:7" ht="75">
      <c r="A16" s="327">
        <v>15</v>
      </c>
      <c r="B16" s="351" t="s">
        <v>457</v>
      </c>
      <c r="C16" s="30" t="s">
        <v>15</v>
      </c>
      <c r="D16" s="408" t="s">
        <v>487</v>
      </c>
      <c r="E16" s="410" t="s">
        <v>488</v>
      </c>
      <c r="F16" s="348" t="s">
        <v>406</v>
      </c>
      <c r="G16" s="411" t="s">
        <v>422</v>
      </c>
    </row>
    <row r="17" spans="1:7" ht="57">
      <c r="A17" s="327">
        <v>16</v>
      </c>
      <c r="B17" s="351" t="s">
        <v>457</v>
      </c>
      <c r="C17" s="30" t="s">
        <v>15</v>
      </c>
      <c r="D17" s="408" t="s">
        <v>490</v>
      </c>
      <c r="E17" s="410" t="s">
        <v>491</v>
      </c>
      <c r="F17" s="348" t="s">
        <v>406</v>
      </c>
      <c r="G17" s="411" t="s">
        <v>423</v>
      </c>
    </row>
    <row r="18" spans="1:7" ht="49.5" customHeight="1">
      <c r="A18" s="327">
        <v>17</v>
      </c>
      <c r="B18" s="351" t="s">
        <v>457</v>
      </c>
      <c r="C18" s="30" t="s">
        <v>15</v>
      </c>
      <c r="D18" s="408" t="s">
        <v>492</v>
      </c>
      <c r="E18" s="410" t="s">
        <v>493</v>
      </c>
      <c r="F18" s="348" t="s">
        <v>406</v>
      </c>
      <c r="G18" s="411" t="s">
        <v>423</v>
      </c>
    </row>
    <row r="19" spans="1:7" ht="99.75">
      <c r="A19" s="327">
        <v>18</v>
      </c>
      <c r="B19" s="351" t="s">
        <v>457</v>
      </c>
      <c r="C19" s="30" t="s">
        <v>458</v>
      </c>
      <c r="D19" s="346" t="s">
        <v>450</v>
      </c>
      <c r="E19" s="348" t="s">
        <v>499</v>
      </c>
      <c r="F19" s="348" t="s">
        <v>406</v>
      </c>
      <c r="G19" s="336" t="s">
        <v>494</v>
      </c>
    </row>
    <row r="20" spans="1:7" ht="60">
      <c r="A20" s="327">
        <v>19</v>
      </c>
      <c r="B20" s="351" t="s">
        <v>457</v>
      </c>
      <c r="C20" s="30" t="s">
        <v>458</v>
      </c>
      <c r="D20" s="346" t="s">
        <v>451</v>
      </c>
      <c r="E20" s="348" t="s">
        <v>497</v>
      </c>
      <c r="F20" s="348" t="s">
        <v>406</v>
      </c>
      <c r="G20" s="336" t="s">
        <v>494</v>
      </c>
    </row>
    <row r="21" spans="1:7" ht="99.75">
      <c r="A21" s="327">
        <v>20</v>
      </c>
      <c r="B21" s="351" t="s">
        <v>457</v>
      </c>
      <c r="C21" s="30" t="s">
        <v>458</v>
      </c>
      <c r="D21" s="346" t="s">
        <v>452</v>
      </c>
      <c r="E21" s="348" t="s">
        <v>500</v>
      </c>
      <c r="F21" s="348" t="s">
        <v>406</v>
      </c>
      <c r="G21" s="336" t="s">
        <v>494</v>
      </c>
    </row>
    <row r="22" spans="1:7" ht="45">
      <c r="A22" s="327">
        <v>21</v>
      </c>
      <c r="B22" s="351" t="s">
        <v>457</v>
      </c>
      <c r="C22" s="30" t="s">
        <v>458</v>
      </c>
      <c r="D22" s="346" t="s">
        <v>453</v>
      </c>
      <c r="E22" s="348" t="s">
        <v>502</v>
      </c>
      <c r="F22" s="348" t="s">
        <v>406</v>
      </c>
      <c r="G22" s="336" t="s">
        <v>494</v>
      </c>
    </row>
    <row r="23" spans="1:7" ht="99.75">
      <c r="A23" s="327">
        <v>22</v>
      </c>
      <c r="B23" s="351" t="s">
        <v>457</v>
      </c>
      <c r="C23" s="30" t="s">
        <v>458</v>
      </c>
      <c r="D23" s="346" t="s">
        <v>454</v>
      </c>
      <c r="E23" s="348" t="s">
        <v>501</v>
      </c>
      <c r="F23" s="348" t="s">
        <v>406</v>
      </c>
      <c r="G23" s="336" t="s">
        <v>495</v>
      </c>
    </row>
    <row r="24" spans="1:7" ht="57">
      <c r="A24" s="327">
        <v>23</v>
      </c>
      <c r="B24" s="351" t="s">
        <v>457</v>
      </c>
      <c r="C24" s="30" t="s">
        <v>458</v>
      </c>
      <c r="D24" s="346" t="s">
        <v>455</v>
      </c>
      <c r="E24" s="348" t="s">
        <v>498</v>
      </c>
      <c r="F24" s="348" t="s">
        <v>406</v>
      </c>
      <c r="G24" s="336" t="s">
        <v>494</v>
      </c>
    </row>
    <row r="25" spans="1:7" ht="71.25">
      <c r="A25" s="327">
        <v>24</v>
      </c>
      <c r="B25" s="354" t="s">
        <v>457</v>
      </c>
      <c r="C25" s="355" t="s">
        <v>458</v>
      </c>
      <c r="D25" s="356" t="s">
        <v>456</v>
      </c>
      <c r="E25" s="357" t="s">
        <v>496</v>
      </c>
      <c r="F25" s="357" t="s">
        <v>406</v>
      </c>
      <c r="G25" s="358" t="s">
        <v>503</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Sheet1</vt:lpstr>
      <vt:lpstr>Component</vt:lpstr>
      <vt:lpstr>Countries</vt:lpstr>
      <vt:lpstr>Currency</vt:lpstr>
      <vt:lpstr>Indicatori</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2018-05-22T08:08:45Z</cp:lastPrinted>
  <dcterms:created xsi:type="dcterms:W3CDTF">2011-10-24T05:51:11Z</dcterms:created>
  <dcterms:modified xsi:type="dcterms:W3CDTF">2019-09-26T09:21:50Z</dcterms:modified>
</cp:coreProperties>
</file>