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Documents\2. M&amp;E_TB\Progress Reports_TB_Grants\To CCM\Sem1, 2020\"/>
    </mc:Choice>
  </mc:AlternateContent>
  <xr:revisionPtr revIDLastSave="0" documentId="13_ncr:1_{7020A3BC-00C8-4979-A4AD-CE3191B31804}" xr6:coauthVersionLast="45" xr6:coauthVersionMax="45" xr10:uidLastSave="{00000000-0000-0000-0000-000000000000}"/>
  <bookViews>
    <workbookView xWindow="-120" yWindow="-120" windowWidth="29040" windowHeight="15840" tabRatio="765" activeTab="2"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r:id="rId10"/>
    <sheet name="Sheet1" sheetId="46" r:id="rId11"/>
  </sheets>
  <definedNames>
    <definedName name="Component">Setup!$B$9:$B$14</definedName>
    <definedName name="Countries">Setup!$L$9:$L$143</definedName>
    <definedName name="Currency">Setup!$C$9:$C$11</definedName>
    <definedName name="Indicatori">'Introducerea datelor'!$G$118:$S$166</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datelor'!$A$1:$N$166</definedName>
    <definedName name="_xlnm.Print_Area" localSheetId="4">Management!$A$2:$L$34</definedName>
    <definedName name="_xlnm.Print_Area" localSheetId="6">Programatic!$B$1:$R$49</definedName>
    <definedName name="PrintA">Actiuni!$A$2:$L$34</definedName>
    <definedName name="PrintDataF">'Introducerea datelor'!$B$25:$J$67</definedName>
    <definedName name="PrintDataM">'Introducerea datelor'!$B$69:$H$113</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81029"/>
</workbook>
</file>

<file path=xl/calcChain.xml><?xml version="1.0" encoding="utf-8"?>
<calcChain xmlns="http://schemas.openxmlformats.org/spreadsheetml/2006/main">
  <c r="G102" i="29" l="1"/>
  <c r="G101" i="29"/>
  <c r="G100" i="29"/>
  <c r="D57" i="29"/>
  <c r="F102" i="29" l="1"/>
  <c r="F101" i="29"/>
  <c r="F100" i="29"/>
  <c r="D97" i="29"/>
  <c r="C97" i="29"/>
  <c r="E102" i="29" l="1"/>
  <c r="E101" i="29"/>
  <c r="E100" i="29"/>
  <c r="D102" i="29"/>
  <c r="D101" i="29"/>
  <c r="D100" i="29"/>
  <c r="E16" i="29"/>
  <c r="K4" i="30" s="1"/>
  <c r="C102" i="29"/>
  <c r="C101" i="29"/>
  <c r="C100" i="29"/>
  <c r="C34" i="29"/>
  <c r="D34" i="29"/>
  <c r="E34" i="29" s="1"/>
  <c r="F34" i="29" s="1"/>
  <c r="C33" i="29"/>
  <c r="D33" i="29"/>
  <c r="E33" i="29" s="1"/>
  <c r="H33" i="29"/>
  <c r="R34" i="29" s="1"/>
  <c r="F33" i="29"/>
  <c r="G33" i="29"/>
  <c r="R33" i="29" s="1"/>
  <c r="G34" i="29"/>
  <c r="U36" i="37"/>
  <c r="B36" i="37"/>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1" i="29"/>
  <c r="F123" i="29"/>
  <c r="F174" i="29" s="1"/>
  <c r="F125" i="29"/>
  <c r="F127" i="29"/>
  <c r="F129" i="29"/>
  <c r="F131" i="29"/>
  <c r="F133" i="29"/>
  <c r="F135" i="29"/>
  <c r="F137" i="29"/>
  <c r="F139" i="29"/>
  <c r="F141" i="29"/>
  <c r="F143" i="29"/>
  <c r="F145" i="29"/>
  <c r="F147" i="29"/>
  <c r="F149" i="29"/>
  <c r="F151" i="29"/>
  <c r="F153" i="29"/>
  <c r="F155" i="29"/>
  <c r="F157" i="29"/>
  <c r="F159" i="29"/>
  <c r="F161" i="29"/>
  <c r="F163" i="29"/>
  <c r="F165" i="29"/>
  <c r="F119"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7" i="45"/>
  <c r="F47" i="45"/>
  <c r="E48" i="45"/>
  <c r="F48" i="45"/>
  <c r="E49" i="45"/>
  <c r="F49" i="45"/>
  <c r="E50" i="45"/>
  <c r="F50" i="45"/>
  <c r="E51" i="45"/>
  <c r="F51" i="45"/>
  <c r="E52" i="45"/>
  <c r="F52" i="45"/>
  <c r="E53" i="45"/>
  <c r="F53" i="45"/>
  <c r="E54" i="45"/>
  <c r="F54" i="45"/>
  <c r="E55" i="45"/>
  <c r="F55" i="45"/>
  <c r="E56" i="45"/>
  <c r="F56" i="45"/>
  <c r="E57" i="45"/>
  <c r="F57" i="45"/>
  <c r="E58" i="45"/>
  <c r="F58" i="45"/>
  <c r="D34" i="45"/>
  <c r="D35" i="45"/>
  <c r="D36" i="45"/>
  <c r="D37" i="45"/>
  <c r="D38" i="45"/>
  <c r="D39" i="45"/>
  <c r="D40" i="45"/>
  <c r="D41" i="45"/>
  <c r="D43" i="45"/>
  <c r="D44" i="45"/>
  <c r="D45" i="45"/>
  <c r="D47" i="45"/>
  <c r="D48" i="45"/>
  <c r="D49" i="45"/>
  <c r="D50" i="45"/>
  <c r="D51" i="45"/>
  <c r="D52" i="45"/>
  <c r="D53" i="45"/>
  <c r="D54" i="45"/>
  <c r="D55" i="45"/>
  <c r="D56" i="45"/>
  <c r="D57" i="45"/>
  <c r="D58" i="45"/>
  <c r="F33" i="45"/>
  <c r="E33" i="45"/>
  <c r="D33" i="45"/>
  <c r="C33" i="45"/>
  <c r="C34" i="45"/>
  <c r="C35" i="45"/>
  <c r="C36" i="45"/>
  <c r="C37" i="45"/>
  <c r="C38" i="45"/>
  <c r="C39" i="45"/>
  <c r="C40" i="45"/>
  <c r="C41" i="45"/>
  <c r="C43" i="45"/>
  <c r="C44" i="45"/>
  <c r="C45" i="45"/>
  <c r="C47" i="45"/>
  <c r="C48" i="45"/>
  <c r="C49" i="45"/>
  <c r="C50" i="45"/>
  <c r="C51" i="45"/>
  <c r="C52" i="45"/>
  <c r="C53" i="45"/>
  <c r="C54" i="45"/>
  <c r="C55" i="45"/>
  <c r="C56" i="45"/>
  <c r="C57" i="45"/>
  <c r="C58" i="45"/>
  <c r="E121" i="29"/>
  <c r="E123" i="29"/>
  <c r="E174" i="29" s="1"/>
  <c r="E125" i="29"/>
  <c r="E127" i="29"/>
  <c r="E129" i="29"/>
  <c r="E131" i="29"/>
  <c r="E133" i="29"/>
  <c r="E135" i="29"/>
  <c r="E137" i="29"/>
  <c r="E139" i="29"/>
  <c r="E141" i="29"/>
  <c r="E143" i="29"/>
  <c r="E145" i="29"/>
  <c r="E147" i="29"/>
  <c r="E149" i="29"/>
  <c r="E151" i="29"/>
  <c r="E153" i="29"/>
  <c r="E155" i="29"/>
  <c r="E157" i="29"/>
  <c r="E159" i="29"/>
  <c r="E161" i="29"/>
  <c r="E163" i="29"/>
  <c r="E165" i="29"/>
  <c r="E119" i="29"/>
  <c r="B165" i="29"/>
  <c r="B163" i="29"/>
  <c r="B161" i="29"/>
  <c r="B159" i="29"/>
  <c r="B157" i="29"/>
  <c r="B155" i="29"/>
  <c r="B153" i="29"/>
  <c r="B151" i="29"/>
  <c r="B149" i="29"/>
  <c r="B147" i="29"/>
  <c r="B145" i="29"/>
  <c r="B143" i="29"/>
  <c r="B141" i="29"/>
  <c r="B139" i="29"/>
  <c r="B137" i="29"/>
  <c r="B135" i="29"/>
  <c r="B133" i="29"/>
  <c r="B121" i="29"/>
  <c r="H8" i="37" s="1"/>
  <c r="B123" i="29"/>
  <c r="B125" i="29"/>
  <c r="B127" i="29"/>
  <c r="H19" i="37" s="1"/>
  <c r="B129" i="29"/>
  <c r="N19" i="37" s="1"/>
  <c r="B131" i="29"/>
  <c r="B119" i="29"/>
  <c r="B170" i="29" s="1"/>
  <c r="D19" i="37"/>
  <c r="G16" i="29"/>
  <c r="L5" i="35" s="1"/>
  <c r="F40" i="29"/>
  <c r="F41" i="29"/>
  <c r="F42" i="29"/>
  <c r="F43" i="29"/>
  <c r="F44" i="29"/>
  <c r="F45" i="29"/>
  <c r="F46" i="29"/>
  <c r="F47" i="29"/>
  <c r="F48" i="29"/>
  <c r="F39" i="29"/>
  <c r="E42" i="29"/>
  <c r="E43" i="29"/>
  <c r="E44" i="29"/>
  <c r="K27" i="30"/>
  <c r="J27" i="30"/>
  <c r="E40" i="29"/>
  <c r="E41" i="29"/>
  <c r="E45" i="29"/>
  <c r="E47" i="29"/>
  <c r="E39" i="29"/>
  <c r="I174" i="29"/>
  <c r="J174" i="29"/>
  <c r="K174" i="29"/>
  <c r="L174" i="29"/>
  <c r="I175" i="29"/>
  <c r="J175" i="29"/>
  <c r="K175" i="29"/>
  <c r="L175" i="29"/>
  <c r="I171" i="29"/>
  <c r="J171" i="29"/>
  <c r="K171" i="29"/>
  <c r="L171" i="29"/>
  <c r="I172" i="29"/>
  <c r="J172" i="29"/>
  <c r="K172" i="29"/>
  <c r="L172" i="29"/>
  <c r="I173" i="29"/>
  <c r="J173" i="29"/>
  <c r="K173" i="29"/>
  <c r="L173" i="29"/>
  <c r="H171" i="29"/>
  <c r="H172" i="29"/>
  <c r="H173" i="29"/>
  <c r="H174" i="29"/>
  <c r="H175" i="29"/>
  <c r="L170" i="29"/>
  <c r="I170" i="29"/>
  <c r="J170" i="29"/>
  <c r="K170" i="29"/>
  <c r="G13" i="27"/>
  <c r="B174" i="29"/>
  <c r="M174" i="29"/>
  <c r="N174" i="29"/>
  <c r="O174" i="29"/>
  <c r="P174" i="29"/>
  <c r="Q174" i="29"/>
  <c r="R174" i="29"/>
  <c r="S174" i="29"/>
  <c r="M175" i="29"/>
  <c r="N175" i="29"/>
  <c r="O175" i="29"/>
  <c r="P175" i="29"/>
  <c r="Q175" i="29"/>
  <c r="R175" i="29"/>
  <c r="S175" i="29"/>
  <c r="C49" i="29"/>
  <c r="D49" i="29"/>
  <c r="E54" i="29"/>
  <c r="E57" i="29"/>
  <c r="E56" i="29"/>
  <c r="N34" i="29"/>
  <c r="M34" i="29"/>
  <c r="L34" i="29"/>
  <c r="K34" i="29"/>
  <c r="I34" i="29"/>
  <c r="J34" i="29"/>
  <c r="H34" i="29"/>
  <c r="N33" i="29"/>
  <c r="N35" i="29" s="1"/>
  <c r="M33" i="29"/>
  <c r="M35" i="29" s="1"/>
  <c r="L33" i="29"/>
  <c r="L35" i="29" s="1"/>
  <c r="K33" i="29"/>
  <c r="R52" i="29" s="1"/>
  <c r="J33" i="29"/>
  <c r="J35" i="29" s="1"/>
  <c r="I33" i="29"/>
  <c r="R35" i="29" s="1"/>
  <c r="E81" i="29"/>
  <c r="H170" i="29"/>
  <c r="D30" i="42"/>
  <c r="D37" i="42"/>
  <c r="Q172" i="29"/>
  <c r="R172" i="29"/>
  <c r="Q173" i="29"/>
  <c r="R173" i="29"/>
  <c r="M172" i="29"/>
  <c r="N172" i="29"/>
  <c r="O172" i="29"/>
  <c r="P172" i="29"/>
  <c r="M173" i="29"/>
  <c r="N173" i="29"/>
  <c r="O173" i="29"/>
  <c r="P173" i="29"/>
  <c r="N8" i="37"/>
  <c r="B2" i="39"/>
  <c r="B2" i="42"/>
  <c r="C2" i="37"/>
  <c r="B2" i="35"/>
  <c r="B2" i="30"/>
  <c r="C2" i="45"/>
  <c r="B3" i="27"/>
  <c r="B2" i="1"/>
  <c r="I9" i="27"/>
  <c r="E53" i="29"/>
  <c r="C38" i="29"/>
  <c r="D38" i="29"/>
  <c r="B32" i="29"/>
  <c r="B31" i="29"/>
  <c r="D29" i="42"/>
  <c r="C22" i="45"/>
  <c r="C4" i="39"/>
  <c r="C3" i="39"/>
  <c r="B3" i="39"/>
  <c r="C4" i="42"/>
  <c r="C3" i="42"/>
  <c r="B3" i="42"/>
  <c r="D4" i="37"/>
  <c r="D3" i="37"/>
  <c r="C3" i="37"/>
  <c r="C4" i="35"/>
  <c r="C3" i="35"/>
  <c r="B3" i="35"/>
  <c r="C4" i="30"/>
  <c r="C3" i="30"/>
  <c r="B3" i="30"/>
  <c r="G9" i="27"/>
  <c r="B12" i="27"/>
  <c r="I11" i="27"/>
  <c r="D10" i="27"/>
  <c r="B10" i="27"/>
  <c r="B9" i="27"/>
  <c r="B6" i="27"/>
  <c r="B4" i="1"/>
  <c r="E92" i="29"/>
  <c r="E91" i="29"/>
  <c r="D11" i="42"/>
  <c r="J3" i="35"/>
  <c r="L3" i="35"/>
  <c r="H15" i="35" s="1"/>
  <c r="I3" i="30"/>
  <c r="K3" i="30"/>
  <c r="H22" i="30" s="1"/>
  <c r="D33" i="42"/>
  <c r="D34" i="42"/>
  <c r="D35" i="42"/>
  <c r="D36" i="42"/>
  <c r="D38" i="42"/>
  <c r="D32" i="42"/>
  <c r="D31" i="42"/>
  <c r="E111" i="29"/>
  <c r="G111" i="29" s="1"/>
  <c r="I111" i="29" s="1"/>
  <c r="E110" i="29"/>
  <c r="G110" i="29"/>
  <c r="I110" i="29" s="1"/>
  <c r="E112" i="29"/>
  <c r="G112" i="29" s="1"/>
  <c r="I112" i="29" s="1"/>
  <c r="E113" i="29"/>
  <c r="G113" i="29"/>
  <c r="I113" i="29" s="1"/>
  <c r="K30" i="35"/>
  <c r="K31" i="35"/>
  <c r="K32" i="35"/>
  <c r="K33" i="35"/>
  <c r="M171" i="29"/>
  <c r="N171" i="29"/>
  <c r="O171" i="29"/>
  <c r="P171" i="29"/>
  <c r="Q171" i="29"/>
  <c r="R171" i="29"/>
  <c r="S171" i="29"/>
  <c r="S172" i="29"/>
  <c r="S173" i="29"/>
  <c r="M170" i="29"/>
  <c r="N170" i="29"/>
  <c r="O170" i="29"/>
  <c r="P170" i="29"/>
  <c r="Q170" i="29"/>
  <c r="R170" i="29"/>
  <c r="S170" i="29"/>
  <c r="F172" i="29"/>
  <c r="F170" i="29"/>
  <c r="E172" i="29"/>
  <c r="E170" i="29"/>
  <c r="B172" i="29"/>
  <c r="H29" i="30"/>
  <c r="H28" i="30"/>
  <c r="H27" i="30"/>
  <c r="D24" i="42"/>
  <c r="D23" i="42"/>
  <c r="D22" i="42"/>
  <c r="D21" i="42"/>
  <c r="D20" i="42"/>
  <c r="D19" i="42"/>
  <c r="D14" i="42"/>
  <c r="D13" i="42"/>
  <c r="D12" i="42"/>
  <c r="C25" i="45"/>
  <c r="C23" i="45"/>
  <c r="C21" i="45"/>
  <c r="C20" i="45"/>
  <c r="C19" i="45"/>
  <c r="C11" i="45"/>
  <c r="C10" i="45"/>
  <c r="C9" i="45"/>
  <c r="C8" i="45"/>
  <c r="C4" i="37"/>
  <c r="B4" i="35"/>
  <c r="B4" i="30"/>
  <c r="G75" i="29"/>
  <c r="F20" i="42"/>
  <c r="G12" i="27"/>
  <c r="H4" i="1"/>
  <c r="G74" i="29"/>
  <c r="K28" i="30"/>
  <c r="J28" i="30"/>
  <c r="K29" i="30"/>
  <c r="J29" i="30"/>
  <c r="B4" i="39"/>
  <c r="D5" i="39"/>
  <c r="E4" i="39"/>
  <c r="K5" i="39"/>
  <c r="J4" i="39"/>
  <c r="L3" i="39"/>
  <c r="J3" i="39"/>
  <c r="L5" i="42"/>
  <c r="L4" i="42"/>
  <c r="E5" i="42"/>
  <c r="E4" i="42"/>
  <c r="B4" i="42"/>
  <c r="M3" i="42"/>
  <c r="L3" i="42"/>
  <c r="F4" i="37"/>
  <c r="R3" i="37"/>
  <c r="F35" i="37" s="1"/>
  <c r="H30" i="35"/>
  <c r="I33" i="35"/>
  <c r="I32" i="35"/>
  <c r="I31" i="35"/>
  <c r="I30" i="35"/>
  <c r="B26" i="35"/>
  <c r="B13" i="27"/>
  <c r="B11" i="27"/>
  <c r="G10" i="27"/>
  <c r="D9" i="27"/>
  <c r="F6" i="27"/>
  <c r="D5" i="35"/>
  <c r="E4" i="35"/>
  <c r="K5" i="35"/>
  <c r="J4" i="35"/>
  <c r="E5" i="37"/>
  <c r="Q5" i="37"/>
  <c r="Q4" i="37"/>
  <c r="O3" i="37"/>
  <c r="J5" i="30"/>
  <c r="D5" i="30"/>
  <c r="I4" i="30"/>
  <c r="E4" i="30"/>
  <c r="D8" i="37"/>
  <c r="S169" i="29"/>
  <c r="R169" i="29"/>
  <c r="Q169" i="29"/>
  <c r="P169" i="29"/>
  <c r="O169" i="29"/>
  <c r="N169" i="29"/>
  <c r="M169" i="29"/>
  <c r="L169" i="29"/>
  <c r="K169" i="29"/>
  <c r="J169" i="29"/>
  <c r="I169" i="29"/>
  <c r="H169" i="29"/>
  <c r="B36" i="39"/>
  <c r="B34" i="39"/>
  <c r="B34" i="35"/>
  <c r="AA47" i="37"/>
  <c r="AB47" i="37"/>
  <c r="AG47" i="37" s="1"/>
  <c r="AA46" i="37"/>
  <c r="AB46" i="37"/>
  <c r="AF46" i="37" s="1"/>
  <c r="AA37" i="37"/>
  <c r="AB37" i="37"/>
  <c r="AG37" i="37" s="1"/>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G50" i="37"/>
  <c r="G42" i="37"/>
  <c r="F40" i="37"/>
  <c r="F44" i="37"/>
  <c r="F56" i="37"/>
  <c r="G57" i="37"/>
  <c r="G41" i="37"/>
  <c r="G37" i="37"/>
  <c r="F45" i="37"/>
  <c r="F53" i="37"/>
  <c r="G44" i="37"/>
  <c r="G36" i="37"/>
  <c r="F54" i="37"/>
  <c r="F58" i="37"/>
  <c r="F47" i="37"/>
  <c r="G43" i="37"/>
  <c r="G51" i="37"/>
  <c r="G35" i="37"/>
  <c r="B3" i="32"/>
  <c r="AE46" i="37"/>
  <c r="AC46" i="37"/>
  <c r="AG46" i="37"/>
  <c r="AE37" i="37"/>
  <c r="AD37" i="37"/>
  <c r="AC37" i="37"/>
  <c r="AF37" i="37"/>
  <c r="AD46" i="37"/>
  <c r="E20" i="42"/>
  <c r="B22" i="30"/>
  <c r="AC47" i="37"/>
  <c r="AD47" i="37"/>
  <c r="AE47" i="37"/>
  <c r="AF47" i="37"/>
  <c r="B15" i="35"/>
  <c r="Q53" i="29"/>
  <c r="E55" i="29"/>
  <c r="R51" i="29"/>
  <c r="F49" i="29" l="1"/>
  <c r="B8" i="30"/>
  <c r="F55" i="37"/>
  <c r="G48" i="37"/>
  <c r="G49" i="37"/>
  <c r="F38" i="37"/>
  <c r="H8" i="30"/>
  <c r="F39" i="37"/>
  <c r="G55" i="37"/>
  <c r="F42" i="37"/>
  <c r="H42" i="37" s="1"/>
  <c r="F57" i="37"/>
  <c r="H57" i="37" s="1"/>
  <c r="F37" i="37"/>
  <c r="H37" i="37" s="1"/>
  <c r="G53" i="37"/>
  <c r="H53" i="37" s="1"/>
  <c r="F48" i="37"/>
  <c r="G38" i="37"/>
  <c r="G58" i="37"/>
  <c r="H58" i="37" s="1"/>
  <c r="F43" i="37"/>
  <c r="H43" i="37" s="1"/>
  <c r="F46" i="37"/>
  <c r="F41" i="37"/>
  <c r="H41" i="37" s="1"/>
  <c r="G52" i="37"/>
  <c r="G54" i="37"/>
  <c r="H54" i="37" s="1"/>
  <c r="E49" i="29"/>
  <c r="H35" i="29"/>
  <c r="F35" i="29"/>
  <c r="H44" i="37"/>
  <c r="H26" i="35"/>
  <c r="B7" i="35"/>
  <c r="H7" i="35"/>
  <c r="D11" i="27"/>
  <c r="R4" i="37"/>
  <c r="K5" i="30"/>
  <c r="L5" i="39"/>
  <c r="L4" i="35"/>
  <c r="L4" i="39"/>
  <c r="R5" i="37"/>
  <c r="H35" i="37"/>
  <c r="M4" i="42"/>
  <c r="R32" i="29"/>
  <c r="O31" i="29"/>
  <c r="G35" i="29"/>
  <c r="K35" i="29"/>
  <c r="I35" i="29"/>
  <c r="J33" i="35"/>
  <c r="K113" i="29"/>
  <c r="L33" i="35" s="1"/>
  <c r="K111" i="29"/>
  <c r="L31" i="35" s="1"/>
  <c r="J31" i="35"/>
  <c r="J32" i="35"/>
  <c r="K112" i="29"/>
  <c r="L32" i="35" s="1"/>
  <c r="R31" i="29"/>
  <c r="E35" i="29"/>
  <c r="J30" i="35"/>
  <c r="K110" i="29"/>
  <c r="L30" i="35" s="1"/>
  <c r="D35" i="29"/>
  <c r="F51" i="37"/>
  <c r="H51" i="37" s="1"/>
  <c r="G39" i="37"/>
  <c r="G47" i="37"/>
  <c r="H47" i="37" s="1"/>
  <c r="F50" i="37"/>
  <c r="H50" i="37" s="1"/>
  <c r="G40" i="37"/>
  <c r="H40" i="37" s="1"/>
  <c r="G56" i="37"/>
  <c r="H56" i="37" s="1"/>
  <c r="F49" i="37"/>
  <c r="G45" i="37"/>
  <c r="H45" i="37" s="1"/>
  <c r="F36" i="37"/>
  <c r="H36" i="37" s="1"/>
  <c r="F52" i="37"/>
  <c r="G46" i="37"/>
  <c r="G11" i="27"/>
  <c r="M5" i="42"/>
  <c r="R30" i="29"/>
  <c r="H49" i="37" l="1"/>
  <c r="H48" i="37"/>
  <c r="H38" i="37"/>
  <c r="H46" i="37"/>
  <c r="H52" i="37"/>
  <c r="H39" i="37"/>
  <c r="H5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4" authorId="1" shapeId="0" xr:uid="{00000000-0006-0000-0200-000002000000}">
      <text>
        <r>
          <rPr>
            <b/>
            <sz val="8"/>
            <color indexed="81"/>
            <rFont val="Tahoma"/>
            <family val="2"/>
            <charset val="204"/>
          </rPr>
          <t xml:space="preserve">If data are not available, do not enter zeros; rather, leave the cells in the table blank. </t>
        </r>
      </text>
    </comment>
    <comment ref="B75" authorId="1" shapeId="0" xr:uid="{00000000-0006-0000-0200-000003000000}">
      <text>
        <r>
          <rPr>
            <b/>
            <sz val="8"/>
            <color indexed="81"/>
            <rFont val="Tahoma"/>
            <family val="2"/>
            <charset val="204"/>
          </rPr>
          <t>If data are not available, do not enter zeros; rather, leave the cells in this table blank.</t>
        </r>
      </text>
    </comment>
    <comment ref="B81" authorId="0" shapeId="0" xr:uid="{00000000-0006-0000-0200-000004000000}">
      <text>
        <r>
          <rPr>
            <sz val="8"/>
            <color indexed="81"/>
            <rFont val="Tahoma"/>
            <family val="2"/>
            <charset val="204"/>
          </rPr>
          <t xml:space="preserve">If data are not available, do not enter zeros; rather, leave the cells in this table blank. </t>
        </r>
      </text>
    </comment>
    <comment ref="B96"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<sst xmlns="http://schemas.openxmlformats.org/spreadsheetml/2006/main" count="932" uniqueCount="536">
  <si>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</si>
  <si>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</si>
  <si>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</si>
  <si>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</si>
  <si>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</si>
  <si>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</si>
  <si>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</si>
  <si>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</si>
  <si>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</si>
  <si>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</si>
  <si>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</si>
  <si>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</si>
  <si>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</si>
  <si>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</si>
  <si>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</si>
  <si>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</si>
  <si>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</si>
  <si>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</si>
  <si>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</si>
  <si>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</si>
  <si>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</si>
  <si>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</si>
  <si>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</si>
  <si>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</si>
  <si>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</si>
  <si>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</si>
  <si>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</si>
  <si>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</si>
  <si>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</si>
  <si>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</si>
  <si>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</si>
  <si>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</si>
  <si>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</si>
  <si>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</si>
  <si>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</si>
  <si>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</si>
  <si>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</si>
  <si>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</si>
  <si>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</si>
  <si>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</si>
  <si>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</si>
  <si>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</si>
  <si>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</si>
  <si>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</si>
  <si>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</si>
  <si>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</si>
  <si>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</si>
  <si>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</si>
  <si>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</si>
  <si>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</si>
  <si>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</si>
  <si>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</si>
  <si>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</si>
  <si>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</si>
  <si>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</si>
  <si>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</si>
  <si>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</si>
  <si>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</si>
  <si>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</si>
  <si>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</si>
  <si>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</si>
  <si>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</si>
  <si>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</si>
  <si>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</si>
  <si>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</si>
  <si>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</si>
  <si>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</si>
  <si>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</si>
  <si>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</si>
  <si>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</si>
  <si>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</si>
  <si>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</si>
  <si>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</si>
  <si>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</si>
  <si>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</si>
  <si>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</si>
  <si>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</si>
  <si>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</si>
  <si>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</si>
  <si>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</si>
  <si>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</si>
  <si>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</si>
  <si>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</si>
  <si>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</si>
  <si>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</si>
  <si>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</si>
  <si>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</si>
  <si>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</si>
  <si>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</si>
  <si>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</si>
  <si>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</si>
  <si>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</si>
  <si>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</si>
  <si>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</si>
  <si>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</si>
  <si>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</si>
  <si>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</si>
  <si>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</si>
  <si>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</si>
  <si>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</si>
  <si>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</si>
  <si>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</si>
  <si>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</si>
  <si>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</si>
  <si>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</si>
  <si>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</si>
  <si>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</si>
  <si>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</si>
  <si>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</si>
  <si>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</si>
  <si>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</si>
  <si>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</si>
  <si>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</si>
  <si>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</si>
  <si>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</si>
  <si>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</si>
  <si>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</si>
  <si>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</si>
  <si>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</si>
  <si>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</si>
  <si>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</si>
  <si>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</si>
  <si>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</si>
  <si>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</si>
  <si>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</si>
  <si>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</si>
  <si>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</si>
  <si>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</si>
  <si>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</si>
  <si>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</si>
  <si>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</si>
  <si>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</si>
  <si>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</si>
  <si>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</si>
  <si>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</si>
  <si>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</si>
  <si>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</si>
  <si>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</si>
  <si>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</si>
  <si>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</si>
  <si>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</si>
  <si>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</si>
  <si>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</si>
  <si>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</si>
  <si>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</si>
  <si>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</si>
  <si>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</si>
  <si>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</si>
  <si>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</si>
  <si>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</si>
  <si>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</si>
  <si>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</si>
  <si>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</si>
  <si>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</si>
  <si>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</si>
  <si>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</si>
  <si>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</si>
  <si>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</si>
  <si>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</si>
  <si>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</si>
  <si>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</si>
  <si>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</si>
  <si>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</si>
  <si>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</si>
  <si>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</si>
  <si>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</si>
  <si>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</si>
  <si>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</si>
  <si>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</si>
  <si>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</si>
  <si>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</si>
  <si>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</si>
  <si>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</si>
  <si>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</si>
  <si>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</si>
  <si>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</si>
  <si>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</si>
  <si>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</si>
  <si>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</si>
  <si>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</si>
  <si>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</si>
  <si>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</si>
  <si>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</si>
  <si>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</si>
  <si>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</si>
  <si>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</si>
  <si>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</si>
  <si>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</si>
  <si>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</si>
  <si>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</si>
  <si>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</si>
  <si>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</si>
  <si>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</si>
  <si>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</si>
  <si>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</si>
  <si>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</si>
  <si>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</si>
  <si>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</si>
  <si>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</si>
  <si>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</si>
  <si>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</si>
  <si>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</si>
  <si>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</si>
  <si>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</si>
  <si>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</si>
  <si>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</si>
  <si>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</si>
  <si>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</si>
  <si>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</si>
  <si>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</si>
  <si>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</si>
  <si>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</si>
  <si>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</si>
  <si>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</si>
  <si>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</si>
  <si>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</si>
  <si>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</si>
  <si>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</si>
  <si>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</si>
  <si>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</si>
  <si>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</si>
  <si>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</si>
  <si>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</si>
  <si>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</si>
  <si>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</si>
  <si>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</si>
  <si>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</si>
  <si>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</si>
  <si>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</si>
  <si>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</si>
  <si>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</si>
  <si>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</si>
  <si>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</si>
  <si>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</si>
  <si>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</si>
  <si>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</si>
  <si>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</si>
  <si>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</si>
  <si>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</si>
  <si>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</si>
  <si>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</si>
  <si>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</si>
  <si>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</si>
  <si>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</si>
  <si>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</si>
  <si>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</si>
  <si>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</si>
  <si>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</si>
  <si>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</si>
  <si>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</si>
  <si>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</si>
  <si>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</si>
  <si>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</si>
  <si>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</si>
  <si>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</si>
  <si>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</si>
  <si>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</si>
  <si>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</si>
  <si>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</si>
  <si>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</si>
  <si>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</si>
  <si>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</si>
  <si>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</si>
  <si>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</si>
  <si>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</si>
  <si>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</si>
  <si>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</si>
  <si>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</si>
  <si>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</si>
  <si>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</si>
  <si>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</si>
  <si>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</si>
  <si>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</si>
  <si>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</si>
  <si>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</si>
  <si>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</si>
  <si>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</si>
  <si>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</si>
  <si>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</si>
  <si>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</si>
  <si>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</si>
  <si>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</si>
  <si>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</si>
  <si>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</si>
  <si>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</si>
  <si>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</si>
  <si>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</si>
  <si>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</si>
  <si>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</si>
  <si>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</si>
  <si>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</si>
  <si>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</si>
  <si>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</si>
  <si>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</si>
  <si>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</si>
  <si>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</si>
  <si>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</si>
  <si>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</si>
  <si>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</si>
  <si>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</si>
  <si>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</si>
  <si>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</si>
  <si>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</si>
  <si>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</si>
  <si>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</si>
  <si>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</si>
  <si>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</si>
  <si>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</si>
  <si>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</si>
  <si>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</si>
  <si>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</si>
  <si>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</si>
  <si>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</si>
  <si>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</si>
  <si>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</si>
  <si>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</si>
  <si>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</si>
  <si>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</si>
  <si>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</si>
  <si>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</si>
  <si>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</si>
  <si>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</si>
  <si>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</si>
  <si>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</si>
  <si>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</si>
  <si>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</si>
  <si>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</si>
  <si>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</si>
  <si>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</si>
  <si>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</si>
  <si>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</si>
  <si>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</si>
  <si>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</si>
  <si>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</si>
  <si>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</si>
  <si>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</si>
  <si>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</si>
  <si>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</si>
  <si>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</si>
  <si>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</si>
  <si>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</si>
  <si>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</si>
  <si>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</si>
  <si>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</si>
  <si>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</si>
  <si>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</si>
  <si>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</si>
  <si>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</si>
  <si>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</si>
  <si>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</si>
  <si>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</si>
  <si>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</si>
  <si>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</si>
  <si>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</si>
  <si>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</si>
  <si>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</si>
  <si>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</si>
  <si>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</si>
  <si>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</si>
  <si>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</si>
  <si>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</si>
  <si>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</si>
  <si>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</si>
  <si>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</si>
  <si>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</si>
  <si>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</si>
  <si>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</si>
  <si>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</si>
  <si>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</si>
  <si>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</si>
  <si>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</si>
  <si>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</si>
  <si>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</si>
  <si>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</si>
  <si>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</si>
  <si>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</si>
  <si>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</si>
  <si>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</si>
  <si>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</si>
  <si>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</si>
  <si>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</si>
  <si>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</si>
  <si>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</si>
  <si>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</si>
  <si>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</si>
  <si>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</si>
  <si>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</si>
  <si>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</si>
  <si>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</si>
  <si>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</si>
  <si>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</si>
  <si>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</si>
  <si>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</si>
  <si>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</si>
  <si>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</si>
  <si>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</si>
  <si>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</si>
  <si>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</si>
  <si>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</si>
  <si>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</si>
  <si>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</si>
  <si>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</si>
  <si>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</si>
  <si>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</si>
  <si>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</si>
  <si>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</si>
  <si>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</si>
  <si>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</si>
  <si>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</si>
  <si>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</si>
  <si>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</si>
  <si>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</si>
  <si>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</si>
  <si>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</si>
  <si>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</si>
  <si>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</si>
  <si>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Recomandările cheie a Comisiei de Supraveghere</t>
  </si>
  <si>
    <t>IP UCIMP DS</t>
  </si>
  <si>
    <t>Tsovinar Sakanyan</t>
  </si>
  <si>
    <t xml:space="preserve">                               Introduceți datele pentru management în celulele albastre</t>
  </si>
  <si>
    <t>Consolidarea managementului, coordonării, monitorizării și evaluării Programului Național de control al tuberculozei</t>
  </si>
  <si>
    <t>Fortificarea managementului Programului</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</si>
  <si>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</si>
  <si>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</si>
  <si>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</si>
  <si>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 Include numai AFR categoriile 4,5 și 6  (Produse medicale și Echipamente medicale &amp; Medicamente și Produse farmaceutice)</t>
  </si>
  <si>
    <t>Variația</t>
  </si>
  <si>
    <t>%</t>
  </si>
  <si>
    <t>MDA-C-PCIMU</t>
  </si>
  <si>
    <t>Consolidarea controlului tuberculozei și reducerea SIDA și a mortalității aferente în Republica Moldova</t>
  </si>
  <si>
    <t>Start date</t>
  </si>
  <si>
    <t>End data</t>
  </si>
  <si>
    <t>N/A</t>
  </si>
  <si>
    <t>Asigurarea accesului universal la diagnosticul la timp şi de calitate al tuturor formelor de tuberculoză, inclusiv celor cu TB-M/EDR</t>
  </si>
  <si>
    <t>Asigurarea accesului universal la tratamentul calitativ pentru toate formele de TB, inclusiv cu TB-M/EDR</t>
  </si>
  <si>
    <t>Sporirea accesului la servicii de prevenire a infecției HIV, pe bază de dovezi</t>
  </si>
  <si>
    <t>Asigurarea accesului universal la servicii de tratament, îngrijire și suport comprehensiv al infecției HIV</t>
  </si>
  <si>
    <t xml:space="preserve">Consolidarea capacităţii comunităților si asigurarea durabilităţii programului </t>
  </si>
  <si>
    <t>HIV I-4: Mortalitatea asociată cu SIDA la 100,000 populaţie</t>
  </si>
  <si>
    <t>Studiu Bio-comportamental (BSS)</t>
  </si>
  <si>
    <t xml:space="preserve">Numărător: Numărul de respondenți care au rezultat HIV pozitiv.                                                                                                             
Numitor: Numărul de respondenți testați pentru HIV.                                                                                       </t>
  </si>
  <si>
    <t xml:space="preserve">Numărător: Numărul de respondenți care au rezultat HIV pozitiv.
Numitor: Numărul de respondenți testați pentru HIV.    </t>
  </si>
  <si>
    <t>Indicator de impact</t>
  </si>
  <si>
    <t>HIV O-4a (M): Procentul BSB care raportează utilizarea prezervativului în timpul ultimului act de sex anal cu partenerul de gen masculin</t>
  </si>
  <si>
    <t>HIV O-5 (M): Procentul LSC care raportează utilizarea prezervativului cu ultimul lor client</t>
  </si>
  <si>
    <t>HIV O-6 (M): Procentul consumatorilor de droguri injectabile care raportează utilizarea setului pentru injectare steril la ultima injectare</t>
  </si>
  <si>
    <t xml:space="preserve">Numărător: Numărul de respondenți care au raportat utilizarea prezervativului cu ultimul lor client.
Numitor: Numărul de respondenți care au raportat practicarea sexului comercial în ultimele 12 luni.                                                             </t>
  </si>
  <si>
    <t xml:space="preserve">Numărător: Numărul de respondenți care au raportat utilizarea setului pentru injectare steril, la ultima consumare de droguri injectabile.
Numitor: Numărul de respondenți care au raportat consumarea de droguri injectabile în ultima lună.                                                                                    </t>
  </si>
  <si>
    <t>Indicator de rezultat</t>
  </si>
  <si>
    <t xml:space="preserve">KP-1d(M): Procentul consumatorilor de droguri injectabile acoperiți de programele de prevenire HIV - pachet definit de servicii </t>
  </si>
  <si>
    <t>KP-3d(M): Procentul consumatorilor de droguri injectabile care au fost testați pentru HIV în perioada de raportare și își cunosc rezultatele</t>
  </si>
  <si>
    <t xml:space="preserve">KP-1c(M): Procentul LSC acoperiți de programele de prevenire HIV - pachet definit de servicii </t>
  </si>
  <si>
    <t>KP-3c(M): Procentul LSC care au fost testați pentru HIV în perioada de raportare și își cunosc rezultatele</t>
  </si>
  <si>
    <t xml:space="preserve">KP-1a(M): Procentul BSB acoperiți de programele de prevenire HIV - pachet definit de servicii </t>
  </si>
  <si>
    <t>KP-3a(M): Procentul BSB care au fost testați pentru HIV în perioada de raportare și își cunosc rezultatele</t>
  </si>
  <si>
    <t xml:space="preserve">TCS-1 (M): Procentul adulţilor şi copiilor care trăiesc cu HIV și urmează tratament antiretroviral </t>
  </si>
  <si>
    <t>Indicator de proces</t>
  </si>
  <si>
    <t>HIV</t>
  </si>
  <si>
    <t>Definiție (din M&amp;E Plan)</t>
  </si>
  <si>
    <t>Column1</t>
  </si>
  <si>
    <t>Column2</t>
  </si>
  <si>
    <t>N</t>
  </si>
  <si>
    <t>Tip indicator</t>
  </si>
  <si>
    <t xml:space="preserve">Numărător: Numărul de respondenți care au raportat utilizarea prezervativului în timpul ultimului act de sex anal.                                                       
Numitor: Numărul de respondenți care au raportat practicarea sexului anal în ultimele 6 luni.                                                                                      </t>
  </si>
  <si>
    <t>Sistemul R&amp;R TB; Rapoarte trimestriale; SYME TB</t>
  </si>
  <si>
    <t xml:space="preserve">Componenta </t>
  </si>
  <si>
    <t>TB I-3(M): Rata mortalităţii  - Numărul estimat de decese cauzate de TB (toate formele) pe an, la 100,000 persoane</t>
  </si>
  <si>
    <t xml:space="preserve">TB I-4(M): Prevalența TB MDR printre cazurile noi de tuberculoză </t>
  </si>
  <si>
    <t xml:space="preserve">Numărător: Numărul de respondenți care au rezultat HIV pozitiv.                                                                                                             
Numitor: Numărul de respondenți testați pentru HIV.                                                   
                                </t>
  </si>
  <si>
    <t xml:space="preserve">Registru pacienți/ Registru Național Decese
</t>
  </si>
  <si>
    <t xml:space="preserve">Numărător: Numărul de decese cauzate de HIV/ SIDA într-o anumită perioadă de timp.                                                  Numitor: Adulți (15+): Numărul total al populației (per 100 000 persoane). Copii (&lt;15): Numărul total al populației (per 1 000 nou-născuți).                                      
                                </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</si>
  <si>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</si>
  <si>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 xml:space="preserve">HIV I-9a (M): Procentul BSB care trăiesc cu HIV </t>
  </si>
  <si>
    <t>HIV I-10 (M): Procentul LSC care trăiesc cu HIV</t>
  </si>
  <si>
    <t>HIV I-11 (M): Procentul consumatorilor de droguri injectabile care trăiesc cu HIV</t>
  </si>
  <si>
    <t xml:space="preserve">TB O-4(M): Rata succesului tratamentului pacienților cu RR TB și/sau MDR-TB </t>
  </si>
  <si>
    <t>TB O-1a: Rata de notificare a cazurilor de tuberculoză (toate formele) per 100,000 populație</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</si>
  <si>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</si>
  <si>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</si>
  <si>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Numărător: Numărul de decese cauzate de TB (toate formele) înregistrate într-o anumită perioadă per 100,000 persoane.                                                                                                                                                      Numitor: Numărul total al populației în țară.</t>
  </si>
  <si>
    <t>TB O-5(M): Rata de acoperire cu tratament antituberculos</t>
  </si>
  <si>
    <t>Numărător: Number de cazuri noi și recidive notificate și acoperite cu tratament, during specified period of time.
Numitor: Numărul estimat de cazuri TB din același an (toate formele TB - bacteriologic confirmate și diagnosticate clinic), din baza de date a OMS (WHO Global TB).</t>
  </si>
  <si>
    <t>Sistemul R&amp;R TB; Rapoarte trimestriale; SYME TB
Date estimative ale OMS (WHO Global TB)</t>
  </si>
  <si>
    <t xml:space="preserve">HIV O-1 (M): Procentul adulţilor şi copiilor HIV infectaţi care se află în tratament 12 luni după iniţierea tratamentului antiretroviral </t>
  </si>
  <si>
    <t xml:space="preserve">Numărător: Numărul adulților și copiilor care sunt în viață și în terapie ARV 12 luni după inițierea tratamentului.
Numitor: Numărul total de adulți ăi copii care în perioada de raportare au facut 12 luni de la inițierea TARV.                                                                         
</t>
  </si>
  <si>
    <t>MDR TB-2(M): Numărul cazurilor de TB DR (RR-TB și/sau MDR-TB), confirmate bacteriologic, notificate</t>
  </si>
  <si>
    <t xml:space="preserve">MDR TB-3(M): Numărul cazurilor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</si>
  <si>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</si>
  <si>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 xml:space="preserve">Numărător: Numărul de cazuri de TB DR (RR-TB și/sau MDR-TB), confirmate bacteriologic, notificate către autoritatea națională, în perioada raportată.                                                                                              Numitor: Nu este   </t>
  </si>
  <si>
    <t>MDR TB-4: Rezultatul interimar de abandon al tratamentului cazurilor MDR-TB</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</si>
  <si>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</si>
  <si>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MDR TB-8: Numărul cazurilor de XDR TB incluși în tratament în perioada raportată</t>
  </si>
  <si>
    <t xml:space="preserve">Numărător: Numărul cazurilor de XDR TB incluși în tratament în perioada raportată.                                    Numitor: Nu este                                                            </t>
  </si>
  <si>
    <t xml:space="preserve">Forme de raportare ONG, bazate pe IDU Ident  
</t>
  </si>
  <si>
    <t xml:space="preserve">Forme de raportare ONG, bazate pe IDU Ident
</t>
  </si>
  <si>
    <t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t>
  </si>
  <si>
    <t xml:space="preserve">Numărător: Numărul de CDI respondenți, care au fost testați pentru HIV în perioada de raportare și își cunosc rezultatele.
Numitor: Numărul estimat de CDI în Rep. Moldova.      
</t>
  </si>
  <si>
    <t xml:space="preserve">Numărător: Numărul de BSB care au fost testați pentru HIV în perioada de raportare și își cunosc rezultatele.
Numitor: Numărul estimat de BSB în Rep. Moldova.   
</t>
  </si>
  <si>
    <t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t>
  </si>
  <si>
    <t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t>
  </si>
  <si>
    <t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t>
  </si>
  <si>
    <t xml:space="preserve">Numărător: Numărul de LSC care au fost testați pentru HIV în perioada de raportare și își cunosc rezultatele.                                                                                                                                                             Numitor: Numărul estimat de LSC în Rep. Moldova.                                                           </t>
  </si>
  <si>
    <t>Registrele pacienților în TARV (Centrele TARV)</t>
  </si>
  <si>
    <t xml:space="preserve">
BSS. Data de raportare - 31 August 2020
</t>
  </si>
  <si>
    <t>BSS. Data de raportare - 31 August 2020</t>
  </si>
  <si>
    <t>n/a</t>
  </si>
  <si>
    <t>Toate posturile în cadrul echipei ce gestionează Grantul curent sunt ocupate.</t>
  </si>
  <si>
    <t>În perioada raportată, Sub-Recipienții au prezentat cîte două rapoarte trimestriale (narative și financiare), în conformitate cu acordurile semnate.</t>
  </si>
  <si>
    <t>Pregatirea si raspunsul COVID-19</t>
  </si>
  <si>
    <r>
      <rPr>
        <b/>
        <sz val="12"/>
        <rFont val="Calibri"/>
        <family val="2"/>
      </rPr>
      <t xml:space="preserve">Date finale pentru anul 2019. </t>
    </r>
    <r>
      <rPr>
        <sz val="12"/>
        <rFont val="Calibri"/>
        <family val="2"/>
      </rPr>
      <t xml:space="preserve">248 persoane (209 pentru malul drept și 39 pentru malul stîng) au decedat de tuberculoză în anul 2019 (7,9 decese la 100,000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t>
    </r>
  </si>
  <si>
    <t xml:space="preserve">Date finale pentru anul 2019. 248 persoane (209 pentru malul drept și 39 pentru malul stîng) au decedat de tuberculoză în anul 2019 (7,9 decese la 100,000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t>
  </si>
  <si>
    <r>
      <rPr>
        <b/>
        <sz val="12"/>
        <rFont val="Calibri"/>
        <family val="2"/>
      </rPr>
      <t xml:space="preserve">Date preliminare pentru anul 2019. </t>
    </r>
    <r>
      <rPr>
        <sz val="12"/>
        <rFont val="Calibri"/>
        <family val="2"/>
      </rPr>
      <t xml:space="preserve">355 cazuri noi de tuberculoză cu testul pozitiv la cultură, examinate la sensibilitate pentru preparatele de linia I, din 1,319 cazuri investigate în anul 2019, au fost diagnosticate cu MDR.                                                                                               
Notă - Se constată menținerea unei rate înalte a TB MDR printre cazurile noi - situație caracteristică ultimilor ani. </t>
    </r>
  </si>
  <si>
    <t xml:space="preserve">Date preliminare pentru anul 2019. 355 cazuri noi de tuberculoză cu testul pozitiv la cultură, examinate la sensibilitate pentru preparatele de linia I, din 1,319 cazuri investigate în anul 2019, au fost diagnosticate cu MDR.                                                                                               
Notă - Se constată menținerea unei rate înalte a TB MDR printre cazurile noi - situație caracteristică ultimilor ani. </t>
  </si>
  <si>
    <t xml:space="preserve">Date finale pentru anul 2019. 124 persoane au decedat de SIDA în anul 2019 (3,9 decese la 100 000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t>
  </si>
  <si>
    <r>
      <rPr>
        <b/>
        <sz val="12"/>
        <rFont val="Calibri"/>
        <family val="2"/>
      </rPr>
      <t>Date finale pentru anul 2019.</t>
    </r>
    <r>
      <rPr>
        <sz val="12"/>
        <rFont val="Calibri"/>
        <family val="2"/>
      </rPr>
      <t xml:space="preserve"> 124 persoane au decedat de SIDA în anul 2019 (3,9 decese la 100 000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t>
    </r>
  </si>
  <si>
    <r>
      <rPr>
        <b/>
        <sz val="12"/>
        <rFont val="Calibri"/>
        <family val="2"/>
      </rPr>
      <t xml:space="preserve">Date preliminare pentru cohorta MDR-TB Q1-Q2.2018. </t>
    </r>
    <r>
      <rPr>
        <sz val="12"/>
        <rFont val="Calibri"/>
        <family val="2"/>
      </rPr>
      <t xml:space="preserve">270 cazuri confirmate de TB MDR, din 488 incluse în tratmentul DOTS Plus în Q1-Q2.2018, au fost tratate cu succes (vindecate și cu tratamente încheiate). </t>
    </r>
    <r>
      <rPr>
        <b/>
        <sz val="12"/>
        <rFont val="Calibri"/>
        <family val="2"/>
      </rPr>
      <t xml:space="preserve">                                                    </t>
    </r>
  </si>
  <si>
    <r>
      <t xml:space="preserve">Date preliminare pentru anul 2019. </t>
    </r>
    <r>
      <rPr>
        <sz val="12"/>
        <rFont val="Calibri"/>
        <family val="2"/>
      </rPr>
      <t xml:space="preserve">2,879 cazuri de tuberculoză (toate formele, bacteriologic confirmate și diagnosticate clinic, cazuri noi și recidive) au fost notificate către autoritatea națională în anul 2019 (2,381 MD și 538 MS).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de notificare a cazurilor TB (toate formele) per 100,000 populație, pentru anul 2019, a fost recalculată, în conformitate cu numărul actualizat al populației rezidente în Republica Moldova.              </t>
    </r>
  </si>
  <si>
    <r>
      <rPr>
        <b/>
        <sz val="12"/>
        <rFont val="Calibri"/>
        <family val="2"/>
      </rPr>
      <t xml:space="preserve">Date preliminare pentru anul 2019. </t>
    </r>
    <r>
      <rPr>
        <sz val="12"/>
        <rFont val="Calibri"/>
        <family val="2"/>
      </rPr>
      <t xml:space="preserve">2,775 cazuri noi și recidive (2 289 MD, 486 MS) au fost notificate și acoperite cu tratament în anul 2019 (toate formele TB - bacteriologic confirmate și diagnosticate clinic).                                                                                                    Notă - Indicatorul se raportează anual. Datele privind numărul estimat de cazuri TB pentru anul 2019 (numitorul) sunt racordate la cifrele anului 2018. Cifrele finale pentru anul 2019 vor fi disponibile începînd cu trimestrul III.2020, după publicarea raportului anual al OMS. </t>
    </r>
  </si>
  <si>
    <t>Datele colectate și validate în conformitate cu rezultatele Studiului Bio-Comportamental (BSS), vor fi disponibile în trimestrul III.2020, după publicarea Raportului Final al Studiului IBBS 2019/2020.</t>
  </si>
  <si>
    <r>
      <rPr>
        <b/>
        <sz val="12"/>
        <rFont val="Calibri"/>
        <family val="2"/>
      </rPr>
      <t>Date finale pentru anul 2019.</t>
    </r>
    <r>
      <rPr>
        <sz val="12"/>
        <rFont val="Calibri"/>
        <family val="2"/>
      </rPr>
      <t xml:space="preserve"> 898 din 1,054 pacienți HIV+ care au inițiat TARV pe parcursul a. 2018 erau în viață și în tratament ARV 12 luni după inițiere.                                                                                                                                                  Notă - Indicatorul se raportează anual. Datele pentru acest indicator sunt pentru a. 2019, raportabile către 15.08.2020.                                                                                                                                                                              </t>
    </r>
  </si>
  <si>
    <r>
      <rPr>
        <b/>
        <sz val="12"/>
        <rFont val="Calibri"/>
        <family val="2"/>
      </rPr>
      <t>Date preliminare pentru a. 2020.</t>
    </r>
    <r>
      <rPr>
        <sz val="12"/>
        <rFont val="Calibri"/>
        <family val="2"/>
      </rPr>
      <t xml:space="preserve"> 220 cazuri cu tuberculoză drog-rezistentă (RR-TB și/sau MDR-TB), confirmate bacteriologic, au fost notificate în anul 2020, față de 504 cazuri estimate pentru perioada raportată.                                                    
Notă - Reducerea numărului de pacienți MDR TB notificați este în directă corespundere cu scăderea incidenței TB.                            </t>
    </r>
  </si>
  <si>
    <r>
      <rPr>
        <b/>
        <sz val="12"/>
        <rFont val="Calibri"/>
        <family val="2"/>
      </rPr>
      <t>Date preliminare pentru cohorta Q1-Q2.2020.</t>
    </r>
    <r>
      <rPr>
        <sz val="12"/>
        <rFont val="Calibri"/>
        <family val="2"/>
      </rPr>
      <t xml:space="preserve"> 307 cazuri cu tuberculoză drog-rezistentă (RR-TB și/sau MDR-TB), confirmate bacteriologic, au demarat tratamentul DOTS-Plus în perioada Q1-Q2.2020, față de 491 cazuri estimate pentru perioada raportată.                                                                                                                    </t>
    </r>
  </si>
  <si>
    <r>
      <rPr>
        <b/>
        <sz val="12"/>
        <rFont val="Calibri"/>
        <family val="2"/>
      </rPr>
      <t xml:space="preserve">Date preliminare pentru cohorta Q1-Q2.2019. </t>
    </r>
    <r>
      <rPr>
        <sz val="12"/>
        <rFont val="Calibri"/>
        <family val="2"/>
      </rPr>
      <t xml:space="preserve">54 pacienți din 448 incluși în tratamentul DOTS Plus în anul 2019, au abandonat tratamentul către luna a 6-a de la demararea acestuia.                        </t>
    </r>
    <r>
      <rPr>
        <b/>
        <sz val="12"/>
        <rFont val="Calibri"/>
        <family val="2"/>
      </rPr>
      <t xml:space="preserve">                                                                                       
</t>
    </r>
    <r>
      <rPr>
        <sz val="12"/>
        <rFont val="Calibri"/>
        <family val="2"/>
      </rPr>
      <t xml:space="preserve">
           </t>
    </r>
  </si>
  <si>
    <t xml:space="preserve">Indicatorul se raportează anual. Datele pentru anul 2020 vor fi disponibile începînd cu trimestrul I.2021.                                                                              </t>
  </si>
  <si>
    <r>
      <rPr>
        <b/>
        <sz val="12"/>
        <rFont val="Calibri"/>
        <family val="2"/>
      </rPr>
      <t xml:space="preserve">Date preliminare pentru anul 2020. </t>
    </r>
    <r>
      <rPr>
        <sz val="12"/>
        <rFont val="Calibri"/>
        <family val="2"/>
      </rPr>
      <t xml:space="preserve">Pentru acest indicator, țintele sunt procentuale și anuale, la jumătate de an fiind raportat doar numărătorul. La data de 30.06.2020, numărul pacienților în terapie ARV a fost de 6,832 persoane, dintre care: 4.766 - pe malul drept (4.657 adulți și 109 copii (&lt;15 ani), 2.529 bărbați și 2.237 femei) și 2.066 persoane - pe malul stâng al Nistrului, inclusiv 2.035 adulți și 31 copii (&lt;15 ani), 1.033 bărbați și 1.033 femei.  
Dezagregare:
Bărbați:           3.562         Femei:          3.270     
Adulți (15+):    6.692        Copii (&lt;15):  140        
</t>
    </r>
  </si>
  <si>
    <r>
      <rPr>
        <u/>
        <sz val="8"/>
        <rFont val="Calibri"/>
        <family val="2"/>
      </rPr>
      <t>Componenta TB</t>
    </r>
    <r>
      <rPr>
        <sz val="8"/>
        <rFont val="Calibri"/>
        <family val="2"/>
      </rPr>
      <t xml:space="preserve">: Acordul de Sub-recipient cu IMSP IFP ”Chiril Draganiuc” (Amendamentul nr. 2 din 10/01/2020 la contractul MDA/C/T/SR/01 din 09.02.2018), prevede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precum și realizarea cursurilor de instruire.                                                          </t>
    </r>
    <r>
      <rPr>
        <u/>
        <sz val="8"/>
        <rFont val="Calibri"/>
        <family val="2"/>
      </rPr>
      <t>Componenta HIV/SIDA</t>
    </r>
    <r>
      <rPr>
        <sz val="8"/>
        <rFont val="Calibri"/>
        <family val="2"/>
      </rPr>
      <t>: Acordul de Sub-recipient cu AO „Inițiativa Pozitivă” (contract nr. SR-IP-02 din 02.01.2019), prevede susținerea campaniilor de advocacy pentru creșterea accesului la servicii de testare, reducere a stigmei și discriminării, sustenabilitate a programelor desfășurate și serviciilor acordate; oferirea de mini grant-uri pentru ONG-uri privind monitorizarea comunităților și gradului de răspundere socială la nivel local; elaborarea, editarea și distribuirea materialelor informaționale și educaționale despre infecția HIV/SIDA pentru grupurile țintă: CDI/LSC/BSB/PTH.</t>
    </r>
  </si>
  <si>
    <r>
      <rPr>
        <u/>
        <sz val="8"/>
        <rFont val="Calibri"/>
        <family val="2"/>
      </rPr>
      <t>Componenta TB</t>
    </r>
    <r>
      <rPr>
        <sz val="8"/>
        <rFont val="Calibri"/>
        <family val="2"/>
      </rPr>
      <t xml:space="preserve">: Obiectivul 1 „Asigurarea accesului universal la diagnosticul la timp şi de calitate al tuturor formelor de tuberculoză, inclusiv celor cu TB-M/EDR” - Variația se datorează transferării unor activități planificate pentru Q4 2019 pentru perioadele următoare, ca urmare a semnării bugetului actualizat,  în luna ianuarie 2020.
Obiectivul 2 „Asigurarea accesului universal la tratamentul calitativ pentru toate formele de TB, inclusiv cu TB-M/EDR” - variația se datorează (i) achiziționării unor cantități mai mici de medicamente antituberculoase pentru tratamentul pacienților cu TB-M/EDR, în rezultatul evaluării stocurilor existente și estimării necesităților; și (ii) plății amânate a taxelor </t>
    </r>
    <r>
      <rPr>
        <sz val="8"/>
        <color theme="1"/>
        <rFont val="Calibri"/>
        <family val="2"/>
      </rPr>
      <t xml:space="preserve">GLC de către FG.    
                                                                                                                                                                                                                                                  </t>
    </r>
    <r>
      <rPr>
        <u/>
        <sz val="8"/>
        <color theme="1"/>
        <rFont val="Calibri"/>
        <family val="2"/>
      </rPr>
      <t>Componenta HIV/SIDA</t>
    </r>
    <r>
      <rPr>
        <sz val="8"/>
        <color theme="1"/>
        <rFont val="Calibri"/>
        <family val="2"/>
      </rPr>
      <t>: Obiectivul 1 „Sporirea accesului la servicii de prevenire a infecției HIV, pe bază de dovezi” - Variația se datorează câtorva factori – economii din procurarea consumabilelor; servicii pentru un număr mai mic de beneficiari, comparativ cu numărul planificat in grant, pentru anul respectiv; economii din resursele planificate, pentru motivarea depistării cazurilor noi de HIV; reținerea datoriilor unor ONG-uri pentru indicatorii nerealizați in 2019; impactul pandemiei COVID.  
Obiectivul 2 "Asigurarea accesului universal la servicii de tratament, îngrijire și suport comprehensiv al infecției HIV" - Variația se datorează costurilor mai avantajoase la medicamente si teste, comparativ cu preturile estimate (in special pentru regiunea transnistreana); întârzieri in realizarea unor activități (acreditare laborator SDMC); economii cauzate de utilizarea altor surse pentru realizarea activităților (ex. controlul calității medicamentelor).</t>
    </r>
    <r>
      <rPr>
        <sz val="8"/>
        <color rgb="FFFF0000"/>
        <rFont val="Calibri"/>
        <family val="2"/>
      </rPr>
      <t xml:space="preserve">
</t>
    </r>
    <r>
      <rPr>
        <sz val="8"/>
        <rFont val="Calibri"/>
        <family val="2"/>
      </rPr>
      <t xml:space="preserve">De menționat, că în perioada semestrului I.2020, a fost evaluată realizarea activităților grantului actual, au fost identificate și rebugetate economiile acumulate, inclusiv în scopul activităților de control al infecției cu COVID 19.
</t>
    </r>
  </si>
  <si>
    <t>Componenta TB: Obiectivul 1 „Asigurarea accesului universal la diagnosticul la timp şi de calitate al tuturor formelor de tuberculoză, inclusiv celor cu TB-M/EDR” - Variația se datorează transferării unor activități planificate pentru Q4 2019 pentru perioadele următoare, ca urmare a semnării bugetului actualizat,  în luna ianuarie 2020.
Obiectivul 2 „Asigurarea accesului universal la tratamentul calitativ pentru toate formele de TB, inclusiv cu TB-M/EDR” - variația se datorează (i) achiziționării unor cantități mai mici de medicamente antituberculoase pentru tratamentul pacienților cu TB-M/EDR, în rezultatul evaluării stocurilor existente și estimării necesităților; și (ii) plății amânate a taxelor GLC de către FG.    
                                                                                                                                                                                                                                                  Componenta HIV/SIDA: Obiectivul 1 „Sporirea accesului la servicii de prevenire a infecției HIV, pe bază de dovezi” - Variația se datorează câtorva factori – economii din procurarea consumabilelor; servicii pentru un număr mai mic de beneficiari, comparativ cu numărul planificat in grant, pentru anul respectiv; economii din resursele planificate, pentru motivarea depistării cazurilor noi de HIV; reținerea datoriilor unor ONG-uri pentru indicatorii nerealizați in 2019; impactul pandemiei COVID.  
Obiectivul 2 "Asigurarea accesului universal la servicii de tratament, îngrijire și suport comprehensiv al infecției HIV" - Variația se datorează costurilor mai avantajoase la medicamente si teste, comparativ cu preturile estimate (in special pentru regiunea transnistreana); întârzieri in realizarea unor activități (acreditare laborator SDMC); economii cauzate de utilizarea altor surse pentru realizarea activităților (ex. controlul calității medicamentelor).
De menționat, că în perioada semestrului I.2020, a fost evaluată realizarea activităților grantului actual, au fost identificate și rebugetate economiile acumulate, inclusiv în scopul activităților de control al infecției cu COVID 19.</t>
  </si>
  <si>
    <t>Componenta TB: Analiza stocului medicamentelor antituberculoase de linia a II și a III, a numărului de pacienți în tratament, arată prezența unui stoc între 4 și 8 luni, pentru preparatele de bază. Comenzile sunt plasate trimestrial sau semestrial, în dependență de stocul de medicamente antituberculoase disponibil și Planul de Procurări.                                                                                                                  Componenta HIV/SIDA: Stocul de medicamente ARV disponibil acoperă estimativ perioada de 6-7 luni. Comanda pentru achiziționarea medicamentelor ARV din sursele FG, destinate acoperirii necesităților PN HIV în anul 2020, a fost plasată în luna octombrie 2019.</t>
  </si>
  <si>
    <t>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  Informația este disponibilă anual și se va raporta în următoarea perioadă.
-Asigurarea cooperării cu Comitetul de Lumină Verde(GLC), inclusiv prin bugetarea și autorizarea transferului cotizațiilor anuale de maximum 50.000 USD - Suma bugetată este dedusă din debursări de către FG. Pentru perioada raportată, plata nu a fost efectuată de către FG.</t>
  </si>
  <si>
    <r>
      <rPr>
        <b/>
        <sz val="12"/>
        <rFont val="Calibri"/>
        <family val="2"/>
      </rPr>
      <t>Date preliminare pentru anul 2020.</t>
    </r>
    <r>
      <rPr>
        <sz val="12"/>
        <rFont val="Calibri"/>
        <family val="2"/>
      </rPr>
      <t xml:space="preserve"> Pentru acest indicator, țintele sunt procentuale și anuale, la jumătate de an fiind raportat doar numărătorul. La data de 30.06.2020, din 36,900 CDI estimați pentru acoperire de programele de prevenire pentru CDI și partenerii lor în anul 2020, pe ambele maluri, 13,805 CDI au primit cel puțin două servicii, unul din care a fost schimbul de seringi.                                                                                                                                           </t>
    </r>
  </si>
  <si>
    <r>
      <rPr>
        <b/>
        <sz val="12"/>
        <rFont val="Calibri"/>
        <family val="2"/>
      </rPr>
      <t>Date preliminare pentru anul 2020.</t>
    </r>
    <r>
      <rPr>
        <sz val="12"/>
        <rFont val="Calibri"/>
        <family val="2"/>
      </rPr>
      <t xml:space="preserve"> Pentru acest indicator, țintele sunt procentuale și anuale, la jumătate de an fiind raportat doar numărătorul. La data de 30.06.2020,  din 36,900 CDI estimați pentru acoperire de programele de prevenire pentru CDI și partenerii lor în anul 2020, pe ambele maluri, 4,597 CDI au fost testați pentru HIV și își cunosc rezultatele.        </t>
    </r>
  </si>
  <si>
    <r>
      <rPr>
        <b/>
        <sz val="12"/>
        <rFont val="Calibri"/>
        <family val="2"/>
      </rPr>
      <t>Date preliminare pentru anul 2020.</t>
    </r>
    <r>
      <rPr>
        <sz val="12"/>
        <rFont val="Calibri"/>
        <family val="2"/>
      </rPr>
      <t xml:space="preserve"> Pentru acest indicator, țintele sunt procentuale și anuale, la jumătate de an fiind raportat doar numărătorul. La data de 30.06.2020, din 21,300 LS estimați pentru acoperire de programele comprehensive de prevenire pentru LS și clienții lor în anul 2020, pe ambele maluri, 4,955 LS au primit cel puțin două servicii, unul din care a fost distribuirea de prezervative.                                                      </t>
    </r>
  </si>
  <si>
    <r>
      <rPr>
        <b/>
        <sz val="12"/>
        <rFont val="Calibri"/>
        <family val="2"/>
      </rPr>
      <t xml:space="preserve">Date preliminare pentru anul 2020. </t>
    </r>
    <r>
      <rPr>
        <sz val="12"/>
        <rFont val="Calibri"/>
        <family val="2"/>
      </rPr>
      <t>Pentru acest indicator, țintele sunt procentuale și anuale, la jumătate de an fiind raportat doar numărătorul. La data de 30.06.2020, din 21,300 LS estimați pentru acoperire de programele comprehensive de prevenire pentru LS și clienții lor în anul 2020, pe ambele maluri, 2,690 LS au fost testați pentru HIV și își cunosc rezultatele.</t>
    </r>
  </si>
  <si>
    <r>
      <rPr>
        <b/>
        <sz val="12"/>
        <rFont val="Calibri"/>
        <family val="2"/>
      </rPr>
      <t xml:space="preserve">Date preliminare pentru anul 2020. </t>
    </r>
    <r>
      <rPr>
        <sz val="12"/>
        <rFont val="Calibri"/>
        <family val="2"/>
      </rPr>
      <t xml:space="preserve">Pentru acest indicator, țintele sunt procentuale și anuale, la jumătate de an fiind raportat doar numărătorul. La data de 30.06.2020, din 17,100 BSB estimați pentru acoperire de programele comprehensive de prevenire pentru BSB în anul 2020, pe ambele maluri, 2,920 BSB au primit cel puțin două servicii, unul din care este obligatoriu distribuirea de prezervative sau lubrifianți.                                                        </t>
    </r>
  </si>
  <si>
    <r>
      <rPr>
        <b/>
        <sz val="12"/>
        <rFont val="Calibri"/>
        <family val="2"/>
      </rPr>
      <t xml:space="preserve">Date preliminare pentru anul 2020. </t>
    </r>
    <r>
      <rPr>
        <sz val="12"/>
        <rFont val="Calibri"/>
        <family val="2"/>
      </rPr>
      <t xml:space="preserve">Pentru acest indicator, țintele sunt procentuale și anuale, la jumătate de an fiind raportat doar numărătorul. La data de 30.06.2020, din 17,100 BSB estimați pentru acoperire de programele comprehensive de prevenire pentru BSB în anul 2020, 1,469 BSB au fost testați pentru HIV și își cunosc rezultatele.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</si>
</sst>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70">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8"/>
      <name val="Calibri"/>
      <family val="2"/>
      <charset val="204"/>
    </font>
    <font>
      <sz val="11"/>
      <color rgb="FFFF0000"/>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rgb="FF00B050"/>
      <name val="Arial"/>
      <family val="2"/>
    </font>
    <font>
      <b/>
      <sz val="11"/>
      <color rgb="FF00B050"/>
      <name val="Arial"/>
      <family val="2"/>
    </font>
    <font>
      <b/>
      <sz val="11"/>
      <name val="Calibri"/>
      <family val="2"/>
      <scheme val="minor"/>
    </font>
    <font>
      <sz val="11"/>
      <color theme="0"/>
      <name val="Calibri"/>
      <family val="2"/>
    </font>
    <font>
      <sz val="11"/>
      <color theme="0"/>
      <name val="Calibri"/>
      <family val="2"/>
      <scheme val="minor"/>
    </font>
    <font>
      <sz val="8"/>
      <color theme="1"/>
      <name val="Calibri"/>
      <family val="2"/>
      <scheme val="minor"/>
    </font>
    <font>
      <sz val="8"/>
      <color indexed="9"/>
      <name val="Calibri"/>
      <family val="2"/>
    </font>
    <font>
      <b/>
      <sz val="10"/>
      <name val="Calibri"/>
      <family val="2"/>
    </font>
    <font>
      <b/>
      <sz val="12"/>
      <name val="Arial"/>
      <family val="2"/>
      <charset val="238"/>
    </font>
    <font>
      <sz val="12"/>
      <name val="Arial"/>
      <family val="2"/>
      <charset val="238"/>
    </font>
    <font>
      <b/>
      <sz val="12"/>
      <color indexed="8"/>
      <name val="Calibri"/>
      <family val="2"/>
      <charset val="238"/>
    </font>
    <font>
      <sz val="14"/>
      <color indexed="16"/>
      <name val="Calibri"/>
      <family val="2"/>
    </font>
    <font>
      <sz val="14"/>
      <color theme="1"/>
      <name val="Calibri"/>
      <family val="2"/>
      <scheme val="minor"/>
    </font>
    <font>
      <i/>
      <sz val="14"/>
      <name val="Calibri"/>
      <family val="2"/>
    </font>
    <font>
      <sz val="14"/>
      <name val="Calibri"/>
      <family val="2"/>
      <scheme val="minor"/>
    </font>
    <font>
      <sz val="12"/>
      <color theme="1"/>
      <name val="Calibri"/>
      <family val="2"/>
      <scheme val="minor"/>
    </font>
    <font>
      <sz val="12"/>
      <name val="Calibri"/>
      <family val="2"/>
    </font>
    <font>
      <b/>
      <sz val="12"/>
      <color indexed="40"/>
      <name val="Calibri"/>
      <family val="2"/>
    </font>
    <font>
      <sz val="12"/>
      <name val="Calibri"/>
      <family val="2"/>
      <scheme val="minor"/>
    </font>
    <font>
      <i/>
      <sz val="12"/>
      <color indexed="8"/>
      <name val="Calibri"/>
      <family val="2"/>
    </font>
    <font>
      <b/>
      <sz val="14"/>
      <color indexed="16"/>
      <name val="Calibri"/>
      <family val="2"/>
    </font>
    <font>
      <sz val="14"/>
      <color indexed="60"/>
      <name val="Calibri"/>
      <family val="2"/>
    </font>
    <font>
      <sz val="12"/>
      <color theme="0" tint="-0.249977111117893"/>
      <name val="Calibri"/>
      <family val="2"/>
      <scheme val="minor"/>
    </font>
    <font>
      <b/>
      <sz val="12"/>
      <color theme="1"/>
      <name val="Calibri"/>
      <family val="2"/>
      <scheme val="minor"/>
    </font>
    <font>
      <b/>
      <sz val="12"/>
      <name val="Calibri"/>
      <family val="2"/>
    </font>
    <font>
      <sz val="12"/>
      <color theme="0"/>
      <name val="Calibri"/>
      <family val="2"/>
    </font>
    <font>
      <sz val="12"/>
      <color theme="0"/>
      <name val="Calibri"/>
      <family val="2"/>
      <scheme val="minor"/>
    </font>
    <font>
      <sz val="12"/>
      <color rgb="FFFF0000"/>
      <name val="Calibri"/>
      <family val="2"/>
    </font>
    <font>
      <sz val="12"/>
      <color theme="0" tint="-4.9989318521683403E-2"/>
      <name val="Calibri"/>
      <family val="2"/>
      <scheme val="minor"/>
    </font>
    <font>
      <sz val="10"/>
      <name val="Calibri"/>
      <family val="2"/>
      <scheme val="minor"/>
    </font>
    <font>
      <b/>
      <sz val="10"/>
      <color rgb="FFFF0000"/>
      <name val="Calibri"/>
      <family val="2"/>
      <scheme val="minor"/>
    </font>
    <font>
      <b/>
      <sz val="11"/>
      <color theme="1"/>
      <name val="Calibri"/>
      <family val="2"/>
    </font>
    <font>
      <sz val="12"/>
      <color theme="1"/>
      <name val="Calibri"/>
      <family val="2"/>
    </font>
    <font>
      <i/>
      <sz val="12"/>
      <color theme="1"/>
      <name val="Calibri"/>
      <family val="2"/>
    </font>
    <font>
      <b/>
      <sz val="12"/>
      <name val="Arial"/>
      <family val="2"/>
    </font>
    <font>
      <sz val="8"/>
      <color rgb="FFFF0000"/>
      <name val="Calibri"/>
      <family val="2"/>
    </font>
    <font>
      <u/>
      <sz val="8"/>
      <name val="Calibri"/>
      <family val="2"/>
    </font>
    <font>
      <sz val="8"/>
      <name val="Calibri"/>
      <family val="2"/>
      <scheme val="minor"/>
    </font>
    <font>
      <sz val="8"/>
      <color theme="1"/>
      <name val="Calibri"/>
      <family val="2"/>
    </font>
    <font>
      <u/>
      <sz val="8"/>
      <color theme="1"/>
      <name val="Calibri"/>
      <family val="2"/>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0"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0" fillId="0" borderId="0"/>
    <xf numFmtId="164" fontId="100" fillId="0" borderId="0"/>
    <xf numFmtId="164" fontId="100" fillId="0" borderId="0"/>
    <xf numFmtId="164" fontId="100" fillId="0" borderId="0"/>
    <xf numFmtId="170" fontId="44" fillId="0" borderId="0"/>
    <xf numFmtId="9" fontId="3" fillId="0" borderId="0" applyFont="0" applyFill="0" applyBorder="0" applyAlignment="0" applyProtection="0"/>
    <xf numFmtId="164" fontId="100"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0" fillId="0" borderId="1" applyNumberFormat="0" applyFill="0" applyAlignment="0" applyProtection="0"/>
  </cellStyleXfs>
  <cellXfs count="976">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00" fillId="0" borderId="0" xfId="14" applyProtection="1"/>
    <xf numFmtId="164" fontId="8" fillId="0" borderId="0" xfId="14" applyFont="1" applyProtection="1"/>
    <xf numFmtId="170" fontId="11" fillId="0" borderId="0" xfId="14" applyNumberFormat="1" applyFont="1" applyBorder="1" applyProtection="1"/>
    <xf numFmtId="164" fontId="100" fillId="0" borderId="0" xfId="16" applyProtection="1"/>
    <xf numFmtId="164" fontId="100" fillId="0" borderId="0" xfId="16" applyFill="1" applyBorder="1" applyAlignment="1" applyProtection="1">
      <alignment horizontal="left"/>
    </xf>
    <xf numFmtId="170" fontId="0" fillId="0" borderId="0" xfId="0" applyFill="1" applyBorder="1" applyProtection="1"/>
    <xf numFmtId="164" fontId="100"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64" fontId="20" fillId="0" borderId="0" xfId="0" applyNumberFormat="1" applyFont="1"/>
    <xf numFmtId="164" fontId="20" fillId="0" borderId="0" xfId="0" applyNumberFormat="1" applyFont="1" applyAlignment="1">
      <alignment horizontal="right"/>
    </xf>
    <xf numFmtId="166" fontId="20" fillId="0" borderId="0" xfId="1" applyNumberFormat="1" applyFont="1" applyAlignment="1">
      <alignment horizontal="left"/>
    </xf>
    <xf numFmtId="170" fontId="0" fillId="0" borderId="2" xfId="0" applyBorder="1" applyAlignment="1">
      <alignment horizontal="center"/>
    </xf>
    <xf numFmtId="170" fontId="33" fillId="0" borderId="0" xfId="0" applyFont="1"/>
    <xf numFmtId="170" fontId="33" fillId="0" borderId="0" xfId="0" applyFont="1" applyAlignment="1">
      <alignment horizontal="right"/>
    </xf>
    <xf numFmtId="170" fontId="33" fillId="0" borderId="0" xfId="0" applyFont="1" applyBorder="1"/>
    <xf numFmtId="170" fontId="35" fillId="0" borderId="0" xfId="0" applyFont="1"/>
    <xf numFmtId="170" fontId="33" fillId="0" borderId="0" xfId="0" applyNumberFormat="1" applyFont="1" applyBorder="1"/>
    <xf numFmtId="170" fontId="0" fillId="0" borderId="0" xfId="0" applyFill="1"/>
    <xf numFmtId="170" fontId="0" fillId="0" borderId="2" xfId="0" applyBorder="1"/>
    <xf numFmtId="170" fontId="0" fillId="0" borderId="0" xfId="0" applyFill="1" applyBorder="1" applyAlignment="1">
      <alignment horizontal="center"/>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46" fillId="0" borderId="0" xfId="14" applyFont="1" applyProtection="1"/>
    <xf numFmtId="164" fontId="46" fillId="0" borderId="0" xfId="16" applyFont="1" applyProtection="1"/>
    <xf numFmtId="170" fontId="46" fillId="0" borderId="2" xfId="0" applyFont="1" applyFill="1" applyBorder="1" applyAlignment="1" applyProtection="1">
      <alignment horizontal="center"/>
    </xf>
    <xf numFmtId="170" fontId="46" fillId="0" borderId="2" xfId="0" applyFont="1" applyFill="1" applyBorder="1" applyProtection="1"/>
    <xf numFmtId="164" fontId="46" fillId="0" borderId="2" xfId="16" applyFont="1" applyBorder="1" applyProtection="1"/>
    <xf numFmtId="170" fontId="47" fillId="0" borderId="2" xfId="0" applyFont="1" applyBorder="1" applyAlignment="1" applyProtection="1">
      <alignment horizontal="left" indent="1"/>
    </xf>
    <xf numFmtId="170" fontId="48" fillId="0" borderId="2" xfId="0" applyFont="1" applyBorder="1"/>
    <xf numFmtId="170" fontId="49" fillId="2" borderId="2" xfId="0" applyFont="1" applyFill="1" applyBorder="1" applyAlignment="1" applyProtection="1">
      <alignment horizontal="center"/>
    </xf>
    <xf numFmtId="170" fontId="49" fillId="2" borderId="2" xfId="0" applyFont="1" applyFill="1" applyBorder="1" applyAlignment="1">
      <alignment horizontal="center"/>
    </xf>
    <xf numFmtId="170" fontId="25" fillId="0" borderId="0" xfId="0" applyFont="1" applyAlignment="1">
      <alignment horizontal="center"/>
    </xf>
    <xf numFmtId="164" fontId="41" fillId="0" borderId="0" xfId="13" applyFont="1" applyFill="1" applyAlignment="1">
      <alignment vertical="center"/>
    </xf>
    <xf numFmtId="170" fontId="7" fillId="0" borderId="0" xfId="0" applyFont="1"/>
    <xf numFmtId="170" fontId="35" fillId="0" borderId="0" xfId="0" applyFont="1" applyFill="1"/>
    <xf numFmtId="170" fontId="52" fillId="2" borderId="4" xfId="0" applyFont="1" applyFill="1" applyBorder="1" applyAlignment="1">
      <alignment vertical="center"/>
    </xf>
    <xf numFmtId="170" fontId="50" fillId="0" borderId="0" xfId="18" applyNumberFormat="1" applyFont="1" applyFill="1" applyBorder="1" applyAlignment="1">
      <alignment horizontal="center" vertical="center" wrapText="1"/>
    </xf>
    <xf numFmtId="170" fontId="50" fillId="4" borderId="5" xfId="18" applyNumberFormat="1" applyFont="1" applyFill="1" applyBorder="1" applyAlignment="1">
      <alignment horizontal="center" vertical="center" wrapText="1"/>
    </xf>
    <xf numFmtId="170" fontId="53" fillId="0" borderId="0" xfId="0" applyFont="1" applyFill="1" applyBorder="1" applyAlignment="1" applyProtection="1">
      <alignment horizontal="left"/>
    </xf>
    <xf numFmtId="15" fontId="0" fillId="0" borderId="0" xfId="0" applyNumberFormat="1"/>
    <xf numFmtId="170" fontId="0" fillId="0" borderId="2" xfId="0" quotePrefix="1" applyNumberFormat="1" applyBorder="1"/>
    <xf numFmtId="164" fontId="23" fillId="0" borderId="6" xfId="23" applyFont="1" applyBorder="1" applyAlignment="1" applyProtection="1"/>
    <xf numFmtId="164" fontId="100" fillId="0" borderId="6" xfId="23" applyFill="1" applyBorder="1" applyAlignment="1" applyProtection="1">
      <alignment vertical="center"/>
    </xf>
    <xf numFmtId="164" fontId="3" fillId="0" borderId="6" xfId="23" applyFont="1" applyFill="1" applyBorder="1" applyAlignment="1" applyProtection="1">
      <alignment vertical="center"/>
    </xf>
    <xf numFmtId="164" fontId="23" fillId="0" borderId="0" xfId="23" applyFont="1" applyBorder="1" applyAlignment="1" applyProtection="1"/>
    <xf numFmtId="164" fontId="100" fillId="0" borderId="0" xfId="23" applyFill="1" applyBorder="1" applyAlignment="1" applyProtection="1">
      <alignment vertical="center"/>
    </xf>
    <xf numFmtId="164" fontId="3" fillId="0" borderId="0" xfId="23" applyFont="1" applyFill="1" applyBorder="1" applyAlignment="1" applyProtection="1">
      <alignment vertic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64" fontId="30" fillId="0" borderId="12" xfId="23" applyFont="1" applyBorder="1" applyAlignment="1" applyProtection="1"/>
    <xf numFmtId="164" fontId="31" fillId="0" borderId="12" xfId="23" applyFont="1" applyFill="1" applyBorder="1" applyAlignment="1" applyProtection="1">
      <alignment vertical="center"/>
    </xf>
    <xf numFmtId="164" fontId="31" fillId="0" borderId="12" xfId="23" applyFont="1" applyFill="1" applyBorder="1" applyAlignment="1" applyProtection="1">
      <alignment horizontal="center" vertical="center"/>
    </xf>
    <xf numFmtId="164" fontId="31" fillId="0" borderId="0" xfId="23" applyFont="1" applyFill="1" applyBorder="1" applyAlignment="1" applyProtection="1">
      <alignment vertical="center"/>
    </xf>
    <xf numFmtId="164" fontId="30" fillId="0" borderId="0" xfId="23" applyFont="1" applyBorder="1" applyAlignment="1" applyProtection="1"/>
    <xf numFmtId="164" fontId="32" fillId="0" borderId="0" xfId="23" applyFont="1" applyFill="1" applyBorder="1" applyAlignment="1" applyProtection="1">
      <alignment vertical="center"/>
    </xf>
    <xf numFmtId="170" fontId="7" fillId="0" borderId="0" xfId="0" applyFont="1" applyBorder="1" applyAlignment="1" applyProtection="1">
      <alignment horizontal="center"/>
    </xf>
    <xf numFmtId="170" fontId="0" fillId="0" borderId="0" xfId="0" applyFill="1" applyBorder="1" applyAlignment="1" applyProtection="1">
      <alignment horizontal="center" wrapText="1"/>
    </xf>
    <xf numFmtId="164" fontId="71" fillId="0" borderId="0" xfId="1" applyFont="1" applyFill="1" applyBorder="1" applyProtection="1"/>
    <xf numFmtId="164" fontId="0" fillId="0" borderId="0" xfId="0" applyNumberFormat="1" applyFill="1" applyBorder="1" applyProtection="1"/>
    <xf numFmtId="164" fontId="45" fillId="0" borderId="19" xfId="23" applyFont="1" applyFill="1" applyBorder="1" applyAlignment="1" applyProtection="1"/>
    <xf numFmtId="164" fontId="31" fillId="0" borderId="19" xfId="23" applyFont="1" applyFill="1" applyBorder="1" applyAlignment="1" applyProtection="1">
      <alignment vertical="center"/>
    </xf>
    <xf numFmtId="164" fontId="20" fillId="0" borderId="0" xfId="0" applyNumberFormat="1" applyFont="1" applyAlignment="1" applyProtection="1">
      <alignment horizontal="right"/>
    </xf>
    <xf numFmtId="166" fontId="20" fillId="0" borderId="0" xfId="1" applyNumberFormat="1" applyFont="1" applyAlignment="1" applyProtection="1">
      <alignment horizontal="left"/>
    </xf>
    <xf numFmtId="15" fontId="20" fillId="0" borderId="0" xfId="0" applyNumberFormat="1" applyFont="1" applyAlignment="1" applyProtection="1">
      <alignment horizontal="left"/>
    </xf>
    <xf numFmtId="164" fontId="20" fillId="0" borderId="0" xfId="0" applyNumberFormat="1" applyFont="1" applyProtection="1"/>
    <xf numFmtId="164" fontId="20" fillId="0" borderId="0" xfId="0" applyNumberFormat="1" applyFont="1" applyBorder="1" applyProtection="1"/>
    <xf numFmtId="164" fontId="20" fillId="0" borderId="0" xfId="0" applyNumberFormat="1" applyFont="1" applyBorder="1" applyAlignment="1" applyProtection="1">
      <alignment horizontal="right"/>
    </xf>
    <xf numFmtId="166" fontId="20"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33" fillId="0" borderId="0" xfId="0" applyFont="1" applyProtection="1"/>
    <xf numFmtId="170" fontId="33" fillId="0" borderId="0" xfId="0" applyFont="1" applyAlignment="1" applyProtection="1">
      <alignment horizontal="right"/>
    </xf>
    <xf numFmtId="170" fontId="33" fillId="0" borderId="0" xfId="0" applyFont="1" applyBorder="1" applyProtection="1"/>
    <xf numFmtId="170" fontId="34" fillId="0" borderId="0" xfId="0" applyFont="1" applyBorder="1" applyAlignment="1" applyProtection="1">
      <alignment horizontal="left" vertical="center"/>
    </xf>
    <xf numFmtId="170" fontId="34" fillId="0" borderId="0" xfId="0" applyFont="1" applyBorder="1" applyAlignment="1" applyProtection="1">
      <alignment horizontal="left"/>
    </xf>
    <xf numFmtId="167" fontId="34" fillId="0" borderId="0" xfId="0" applyNumberFormat="1" applyFont="1" applyBorder="1" applyAlignment="1" applyProtection="1">
      <alignment horizontal="left"/>
    </xf>
    <xf numFmtId="170" fontId="35" fillId="0" borderId="0" xfId="0" applyFont="1" applyProtection="1"/>
    <xf numFmtId="170" fontId="36" fillId="0" borderId="0" xfId="0" applyFont="1" applyFill="1" applyBorder="1" applyAlignment="1" applyProtection="1">
      <alignment horizontal="right"/>
    </xf>
    <xf numFmtId="3" fontId="39" fillId="0" borderId="0" xfId="0" applyNumberFormat="1" applyFont="1" applyFill="1" applyBorder="1" applyAlignment="1" applyProtection="1">
      <alignment horizontal="right" vertical="center"/>
    </xf>
    <xf numFmtId="170" fontId="37" fillId="3" borderId="0" xfId="0" applyNumberFormat="1" applyFont="1" applyFill="1" applyBorder="1" applyAlignment="1" applyProtection="1">
      <alignment horizontal="right"/>
    </xf>
    <xf numFmtId="170" fontId="38" fillId="3" borderId="0" xfId="0" applyFont="1" applyFill="1" applyBorder="1" applyAlignment="1" applyProtection="1">
      <alignment horizontal="center" vertical="center"/>
    </xf>
    <xf numFmtId="170" fontId="42" fillId="0" borderId="0" xfId="0" applyFont="1" applyFill="1" applyBorder="1" applyAlignment="1" applyProtection="1">
      <alignment horizontal="center"/>
    </xf>
    <xf numFmtId="170" fontId="37" fillId="0" borderId="0" xfId="0" applyNumberFormat="1" applyFont="1" applyFill="1" applyBorder="1" applyAlignment="1" applyProtection="1">
      <alignment horizontal="right"/>
    </xf>
    <xf numFmtId="170" fontId="46" fillId="0" borderId="0" xfId="0" applyFont="1" applyFill="1" applyBorder="1" applyAlignment="1" applyProtection="1"/>
    <xf numFmtId="170" fontId="20" fillId="0" borderId="0" xfId="0" applyNumberFormat="1" applyFont="1" applyAlignment="1" applyProtection="1">
      <alignment horizontal="center"/>
    </xf>
    <xf numFmtId="170" fontId="20" fillId="0" borderId="0" xfId="0" applyFont="1" applyAlignment="1" applyProtection="1">
      <alignment horizontal="center"/>
    </xf>
    <xf numFmtId="15" fontId="20"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29" fillId="0" borderId="0" xfId="0" applyNumberFormat="1" applyFont="1" applyBorder="1" applyProtection="1"/>
    <xf numFmtId="3" fontId="8" fillId="3" borderId="0" xfId="0" applyNumberFormat="1" applyFont="1" applyFill="1" applyProtection="1"/>
    <xf numFmtId="165" fontId="8" fillId="3" borderId="0" xfId="0" applyNumberFormat="1" applyFont="1" applyFill="1" applyProtection="1"/>
    <xf numFmtId="170" fontId="20" fillId="0" borderId="23" xfId="0" applyFont="1" applyFill="1" applyBorder="1" applyAlignment="1" applyProtection="1">
      <alignment horizontal="center" wrapText="1"/>
    </xf>
    <xf numFmtId="164" fontId="10" fillId="0" borderId="0" xfId="12" applyFont="1" applyFill="1" applyAlignment="1" applyProtection="1">
      <alignment horizontal="center" vertical="center"/>
    </xf>
    <xf numFmtId="164" fontId="13" fillId="0" borderId="25" xfId="20" applyFont="1" applyBorder="1" applyAlignment="1" applyProtection="1">
      <alignment horizontal="right"/>
    </xf>
    <xf numFmtId="164" fontId="61" fillId="0" borderId="0" xfId="0" applyNumberFormat="1" applyFont="1"/>
    <xf numFmtId="170" fontId="61" fillId="0" borderId="0" xfId="0" applyFont="1"/>
    <xf numFmtId="164" fontId="100" fillId="0" borderId="0" xfId="17" applyFill="1" applyBorder="1" applyAlignment="1" applyProtection="1">
      <alignment horizontal="center"/>
    </xf>
    <xf numFmtId="170" fontId="26" fillId="0" borderId="0" xfId="0" quotePrefix="1" applyFont="1" applyProtection="1"/>
    <xf numFmtId="164" fontId="63" fillId="0" borderId="19" xfId="23" applyFont="1" applyFill="1" applyBorder="1" applyAlignment="1" applyProtection="1"/>
    <xf numFmtId="164" fontId="5" fillId="0" borderId="19" xfId="23" applyFont="1" applyFill="1" applyBorder="1" applyAlignment="1" applyProtection="1">
      <alignment vertical="center"/>
    </xf>
    <xf numFmtId="170" fontId="59" fillId="0" borderId="27" xfId="0" applyFont="1" applyBorder="1" applyAlignment="1">
      <alignment vertical="center" wrapText="1"/>
    </xf>
    <xf numFmtId="170" fontId="2" fillId="0" borderId="30" xfId="0" applyFont="1" applyFill="1" applyBorder="1" applyAlignment="1" applyProtection="1">
      <alignment horizontal="center"/>
    </xf>
    <xf numFmtId="170" fontId="1" fillId="0" borderId="0" xfId="0" applyFont="1"/>
    <xf numFmtId="170" fontId="66" fillId="0" borderId="0" xfId="0" applyFont="1"/>
    <xf numFmtId="164" fontId="68" fillId="0" borderId="19" xfId="23" applyFont="1" applyFill="1" applyBorder="1" applyAlignment="1" applyProtection="1">
      <alignment vertical="center"/>
    </xf>
    <xf numFmtId="170" fontId="67" fillId="0" borderId="0" xfId="0" applyFont="1" applyFill="1"/>
    <xf numFmtId="15" fontId="28" fillId="0" borderId="0" xfId="0" applyNumberFormat="1" applyFont="1" applyAlignment="1" applyProtection="1">
      <alignment horizontal="center"/>
    </xf>
    <xf numFmtId="166" fontId="0" fillId="0" borderId="0" xfId="0" applyNumberFormat="1" applyProtection="1"/>
    <xf numFmtId="164" fontId="73" fillId="0" borderId="6" xfId="23" applyFont="1" applyFill="1" applyBorder="1" applyAlignment="1" applyProtection="1">
      <alignment horizontal="left" vertical="center"/>
    </xf>
    <xf numFmtId="170" fontId="74" fillId="0" borderId="0" xfId="0" applyFont="1" applyFill="1" applyBorder="1" applyProtection="1"/>
    <xf numFmtId="170" fontId="72" fillId="0" borderId="0" xfId="0" applyFont="1" applyBorder="1" applyProtection="1"/>
    <xf numFmtId="3" fontId="4" fillId="0" borderId="0" xfId="0" applyNumberFormat="1" applyFont="1" applyAlignment="1" applyProtection="1">
      <alignment horizontal="right"/>
    </xf>
    <xf numFmtId="15" fontId="21" fillId="0" borderId="0" xfId="0" applyNumberFormat="1" applyFont="1" applyFill="1" applyBorder="1" applyAlignment="1" applyProtection="1">
      <alignment horizontal="center" vertical="center" wrapText="1"/>
    </xf>
    <xf numFmtId="164" fontId="80" fillId="0" borderId="0" xfId="4" applyFont="1" applyFill="1" applyAlignment="1" applyProtection="1">
      <alignment vertical="center"/>
    </xf>
    <xf numFmtId="170" fontId="81" fillId="0" borderId="0" xfId="0" applyFont="1" applyProtection="1"/>
    <xf numFmtId="170" fontId="81" fillId="0" borderId="0" xfId="0" applyFont="1" applyBorder="1" applyProtection="1"/>
    <xf numFmtId="170" fontId="0" fillId="0" borderId="0" xfId="0" applyBorder="1" applyAlignment="1" applyProtection="1"/>
    <xf numFmtId="170" fontId="0" fillId="0" borderId="0" xfId="0" applyAlignment="1" applyProtection="1"/>
    <xf numFmtId="170" fontId="70" fillId="0" borderId="0" xfId="0" applyFont="1" applyFill="1" applyBorder="1" applyAlignment="1" applyProtection="1">
      <alignment horizontal="center" vertical="center"/>
    </xf>
    <xf numFmtId="15" fontId="77" fillId="0" borderId="24" xfId="0" applyNumberFormat="1" applyFont="1" applyFill="1" applyBorder="1" applyAlignment="1" applyProtection="1">
      <alignment horizontal="center" wrapText="1"/>
    </xf>
    <xf numFmtId="15" fontId="77" fillId="0" borderId="39" xfId="0" applyNumberFormat="1" applyFont="1" applyFill="1" applyBorder="1" applyAlignment="1" applyProtection="1">
      <alignment horizontal="center" wrapText="1"/>
    </xf>
    <xf numFmtId="170" fontId="0" fillId="0" borderId="24" xfId="0" applyFill="1" applyBorder="1" applyAlignment="1" applyProtection="1">
      <alignment horizontal="center"/>
    </xf>
    <xf numFmtId="170" fontId="1" fillId="0" borderId="23" xfId="0" applyFont="1" applyFill="1" applyBorder="1" applyAlignment="1" applyProtection="1">
      <alignment horizontal="center" wrapText="1"/>
    </xf>
    <xf numFmtId="170" fontId="1" fillId="0" borderId="39" xfId="0" applyFont="1" applyFill="1" applyBorder="1" applyAlignment="1" applyProtection="1">
      <alignment horizontal="center" wrapText="1"/>
    </xf>
    <xf numFmtId="170" fontId="50" fillId="0" borderId="41" xfId="0" applyFont="1" applyFill="1" applyBorder="1" applyAlignment="1" applyProtection="1">
      <alignment horizontal="center" vertical="center"/>
    </xf>
    <xf numFmtId="170" fontId="17" fillId="0" borderId="0" xfId="0" applyFont="1" applyProtection="1"/>
    <xf numFmtId="164" fontId="77" fillId="0" borderId="0" xfId="0" applyNumberFormat="1" applyFont="1" applyBorder="1" applyAlignment="1" applyProtection="1">
      <alignment vertical="center" wrapText="1"/>
    </xf>
    <xf numFmtId="170" fontId="77" fillId="0" borderId="0" xfId="0" applyFont="1" applyFill="1" applyBorder="1" applyAlignment="1" applyProtection="1">
      <alignment wrapText="1"/>
    </xf>
    <xf numFmtId="164" fontId="13" fillId="0" borderId="25" xfId="20" applyFont="1" applyFill="1" applyBorder="1" applyAlignment="1" applyProtection="1">
      <alignment horizontal="right"/>
    </xf>
    <xf numFmtId="170" fontId="26" fillId="0" borderId="42" xfId="0" applyFont="1" applyFill="1" applyBorder="1" applyAlignment="1" applyProtection="1">
      <alignment horizontal="center" wrapText="1"/>
    </xf>
    <xf numFmtId="170" fontId="20" fillId="0" borderId="0" xfId="0" applyFont="1" applyFill="1" applyBorder="1" applyAlignment="1" applyProtection="1">
      <alignment wrapText="1"/>
    </xf>
    <xf numFmtId="9" fontId="79" fillId="8" borderId="2" xfId="19" applyFont="1" applyFill="1" applyBorder="1" applyAlignment="1" applyProtection="1">
      <alignment horizontal="center" vertical="center" wrapText="1"/>
    </xf>
    <xf numFmtId="164" fontId="20" fillId="0" borderId="0" xfId="0" applyNumberFormat="1" applyFont="1" applyAlignment="1" applyProtection="1"/>
    <xf numFmtId="170" fontId="0" fillId="0" borderId="19" xfId="0" applyFill="1" applyBorder="1" applyProtection="1"/>
    <xf numFmtId="164" fontId="82" fillId="0" borderId="19" xfId="23" applyFont="1" applyFill="1" applyBorder="1" applyAlignment="1" applyProtection="1">
      <alignment vertical="center"/>
    </xf>
    <xf numFmtId="170" fontId="0" fillId="0" borderId="19" xfId="0" applyBorder="1" applyProtection="1"/>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64" fontId="61" fillId="0" borderId="0" xfId="0" applyNumberFormat="1" applyFont="1" applyAlignment="1"/>
    <xf numFmtId="170" fontId="26" fillId="0" borderId="23" xfId="0" applyFont="1" applyFill="1" applyBorder="1" applyAlignment="1" applyProtection="1">
      <alignment horizontal="center" wrapText="1"/>
    </xf>
    <xf numFmtId="49" fontId="0" fillId="0" borderId="0" xfId="0" applyNumberFormat="1" applyProtection="1"/>
    <xf numFmtId="3" fontId="0" fillId="0" borderId="2" xfId="0" applyNumberFormat="1" applyFill="1" applyBorder="1" applyProtection="1"/>
    <xf numFmtId="4" fontId="0" fillId="0" borderId="0" xfId="0" applyNumberFormat="1" applyProtection="1"/>
    <xf numFmtId="164" fontId="89" fillId="0" borderId="0" xfId="16" applyFont="1" applyFill="1" applyBorder="1" applyProtection="1"/>
    <xf numFmtId="170" fontId="0" fillId="9" borderId="2" xfId="0" applyFill="1" applyBorder="1" applyProtection="1"/>
    <xf numFmtId="170" fontId="0" fillId="6" borderId="2" xfId="0" applyFill="1" applyBorder="1" applyProtection="1"/>
    <xf numFmtId="49" fontId="18" fillId="0" borderId="57" xfId="0" applyNumberFormat="1" applyFont="1" applyFill="1" applyBorder="1" applyAlignment="1" applyProtection="1">
      <alignment vertical="center" wrapText="1"/>
    </xf>
    <xf numFmtId="170" fontId="62" fillId="0" borderId="58" xfId="0" applyNumberFormat="1" applyFont="1" applyFill="1" applyBorder="1" applyAlignment="1" applyProtection="1">
      <alignment horizontal="center" vertical="center" wrapText="1"/>
    </xf>
    <xf numFmtId="170" fontId="62" fillId="0" borderId="59" xfId="0" applyNumberFormat="1" applyFont="1" applyFill="1" applyBorder="1" applyAlignment="1" applyProtection="1">
      <alignment horizontal="center" vertical="center" wrapText="1"/>
    </xf>
    <xf numFmtId="170" fontId="0" fillId="0" borderId="2" xfId="0" applyNumberFormat="1" applyFill="1" applyBorder="1" applyProtection="1"/>
    <xf numFmtId="164" fontId="100" fillId="9" borderId="62" xfId="23" applyFill="1" applyBorder="1" applyAlignment="1" applyProtection="1">
      <alignment vertical="center"/>
    </xf>
    <xf numFmtId="170" fontId="0" fillId="0" borderId="12" xfId="0" applyBorder="1" applyProtection="1"/>
    <xf numFmtId="164" fontId="31" fillId="6" borderId="64" xfId="23" applyFont="1" applyFill="1" applyBorder="1" applyAlignment="1" applyProtection="1">
      <alignment horizontal="center" vertical="center"/>
    </xf>
    <xf numFmtId="164" fontId="31" fillId="0" borderId="65" xfId="23" applyFont="1" applyFill="1" applyBorder="1" applyAlignment="1" applyProtection="1">
      <alignment vertical="center"/>
    </xf>
    <xf numFmtId="170" fontId="0" fillId="0" borderId="66" xfId="0" applyNumberFormat="1" applyFill="1" applyBorder="1"/>
    <xf numFmtId="170" fontId="0" fillId="0" borderId="2" xfId="0" quotePrefix="1" applyNumberFormat="1" applyBorder="1" applyAlignment="1">
      <alignment horizontal="center"/>
    </xf>
    <xf numFmtId="168" fontId="0" fillId="0" borderId="2" xfId="0" applyNumberFormat="1" applyFill="1" applyBorder="1" applyAlignment="1" applyProtection="1">
      <alignment horizontal="center"/>
    </xf>
    <xf numFmtId="164" fontId="46" fillId="0" borderId="2" xfId="16" applyFont="1" applyBorder="1" applyAlignment="1" applyProtection="1">
      <alignment horizontal="center"/>
    </xf>
    <xf numFmtId="170" fontId="46" fillId="0" borderId="2" xfId="0" applyFont="1" applyBorder="1" applyAlignment="1" applyProtection="1">
      <alignment horizontal="center"/>
    </xf>
    <xf numFmtId="170" fontId="0" fillId="0" borderId="44" xfId="0" applyNumberFormat="1" applyFill="1" applyBorder="1" applyProtection="1"/>
    <xf numFmtId="3" fontId="0" fillId="0" borderId="44" xfId="0" applyNumberFormat="1" applyFill="1" applyBorder="1" applyProtection="1"/>
    <xf numFmtId="168" fontId="0" fillId="0" borderId="44" xfId="0" applyNumberFormat="1" applyFill="1" applyBorder="1" applyAlignment="1" applyProtection="1">
      <alignment horizontal="center"/>
    </xf>
    <xf numFmtId="168" fontId="0" fillId="0" borderId="82" xfId="0" applyNumberFormat="1" applyFill="1" applyBorder="1" applyProtection="1"/>
    <xf numFmtId="168" fontId="0" fillId="0" borderId="83" xfId="0" applyNumberFormat="1" applyFill="1" applyBorder="1" applyProtection="1"/>
    <xf numFmtId="170" fontId="96" fillId="0" borderId="2" xfId="0" applyFont="1" applyFill="1" applyBorder="1" applyAlignment="1" applyProtection="1">
      <alignment horizontal="center"/>
    </xf>
    <xf numFmtId="170" fontId="96" fillId="10" borderId="2" xfId="0" applyFont="1" applyFill="1" applyBorder="1" applyAlignment="1" applyProtection="1">
      <alignment horizontal="center"/>
    </xf>
    <xf numFmtId="164" fontId="97" fillId="0" borderId="12" xfId="23" applyFont="1" applyFill="1" applyBorder="1" applyAlignment="1" applyProtection="1">
      <alignment vertical="center"/>
    </xf>
    <xf numFmtId="164" fontId="25" fillId="0" borderId="0" xfId="0" applyNumberFormat="1" applyFont="1" applyAlignment="1" applyProtection="1">
      <alignment horizontal="center"/>
    </xf>
    <xf numFmtId="170" fontId="50" fillId="0" borderId="84" xfId="0" applyFont="1" applyFill="1" applyBorder="1" applyAlignment="1" applyProtection="1">
      <alignment horizontal="center" vertical="center" wrapText="1"/>
    </xf>
    <xf numFmtId="170" fontId="96" fillId="0" borderId="78" xfId="0" applyFont="1" applyFill="1" applyBorder="1" applyAlignment="1" applyProtection="1">
      <alignment horizontal="center"/>
    </xf>
    <xf numFmtId="170" fontId="98" fillId="0" borderId="85" xfId="0" applyFont="1" applyFill="1" applyBorder="1" applyAlignment="1" applyProtection="1">
      <alignment wrapText="1"/>
    </xf>
    <xf numFmtId="170" fontId="26" fillId="0" borderId="24" xfId="0" applyFont="1" applyFill="1" applyBorder="1" applyAlignment="1" applyProtection="1">
      <alignment horizontal="center" wrapText="1"/>
    </xf>
    <xf numFmtId="170" fontId="0" fillId="0" borderId="0" xfId="0" applyFill="1" applyProtection="1"/>
    <xf numFmtId="170" fontId="81" fillId="0" borderId="0" xfId="0" applyFont="1" applyFill="1" applyAlignment="1" applyProtection="1">
      <alignment horizontal="right"/>
    </xf>
    <xf numFmtId="170" fontId="0" fillId="0" borderId="0" xfId="0" applyAlignment="1" applyProtection="1">
      <alignment horizontal="center"/>
    </xf>
    <xf numFmtId="3" fontId="29" fillId="0" borderId="37" xfId="0" applyNumberFormat="1" applyFont="1" applyFill="1" applyBorder="1" applyAlignment="1" applyProtection="1">
      <alignment horizontal="center"/>
    </xf>
    <xf numFmtId="3" fontId="29" fillId="0" borderId="81" xfId="0" applyNumberFormat="1" applyFont="1" applyFill="1" applyBorder="1" applyAlignment="1" applyProtection="1">
      <alignment horizontal="center"/>
    </xf>
    <xf numFmtId="171" fontId="17" fillId="6" borderId="25" xfId="20" applyNumberFormat="1" applyFont="1" applyFill="1" applyBorder="1" applyAlignment="1" applyProtection="1">
      <alignment horizontal="center" vertical="center"/>
    </xf>
    <xf numFmtId="170" fontId="50" fillId="0" borderId="88" xfId="0" applyFont="1" applyFill="1" applyBorder="1" applyAlignment="1" applyProtection="1">
      <alignment horizontal="center" vertical="center" wrapText="1"/>
    </xf>
    <xf numFmtId="170" fontId="37" fillId="0" borderId="89" xfId="0" applyNumberFormat="1" applyFont="1" applyFill="1" applyBorder="1" applyAlignment="1" applyProtection="1">
      <alignment horizontal="right"/>
    </xf>
    <xf numFmtId="170" fontId="50" fillId="0" borderId="90" xfId="0" applyFont="1" applyFill="1" applyBorder="1" applyAlignment="1" applyProtection="1">
      <alignment horizontal="center"/>
    </xf>
    <xf numFmtId="170" fontId="37" fillId="0" borderId="91" xfId="0" applyNumberFormat="1" applyFont="1" applyFill="1" applyBorder="1" applyAlignment="1" applyProtection="1">
      <alignment horizontal="right"/>
    </xf>
    <xf numFmtId="170" fontId="50" fillId="0" borderId="92" xfId="0" applyFont="1" applyFill="1" applyBorder="1" applyAlignment="1" applyProtection="1">
      <alignment horizontal="center"/>
    </xf>
    <xf numFmtId="170" fontId="37" fillId="0" borderId="93" xfId="0" applyNumberFormat="1" applyFont="1" applyFill="1" applyBorder="1" applyAlignment="1" applyProtection="1">
      <alignment horizontal="right"/>
    </xf>
    <xf numFmtId="170" fontId="50" fillId="0" borderId="94" xfId="0" applyNumberFormat="1" applyFont="1" applyFill="1" applyBorder="1" applyAlignment="1" applyProtection="1">
      <alignment horizontal="center"/>
    </xf>
    <xf numFmtId="170" fontId="37" fillId="0" borderId="95" xfId="0" applyNumberFormat="1" applyFont="1" applyFill="1" applyBorder="1" applyAlignment="1" applyProtection="1">
      <alignment horizontal="right"/>
    </xf>
    <xf numFmtId="170" fontId="50" fillId="0" borderId="96" xfId="0" applyNumberFormat="1" applyFont="1" applyFill="1" applyBorder="1" applyAlignment="1" applyProtection="1">
      <alignment horizontal="center" vertical="center"/>
    </xf>
    <xf numFmtId="170" fontId="37" fillId="0" borderId="97" xfId="0" applyNumberFormat="1" applyFont="1" applyFill="1" applyBorder="1" applyAlignment="1" applyProtection="1">
      <alignment horizontal="right"/>
    </xf>
    <xf numFmtId="170" fontId="50" fillId="0" borderId="98" xfId="0" applyNumberFormat="1" applyFont="1" applyFill="1" applyBorder="1" applyAlignment="1" applyProtection="1">
      <alignment horizontal="center"/>
    </xf>
    <xf numFmtId="170" fontId="37" fillId="0" borderId="99" xfId="0" applyNumberFormat="1" applyFont="1" applyFill="1" applyBorder="1" applyAlignment="1" applyProtection="1">
      <alignment horizontal="right"/>
    </xf>
    <xf numFmtId="170" fontId="50" fillId="0" borderId="98" xfId="0" applyNumberFormat="1" applyFont="1" applyFill="1" applyBorder="1" applyAlignment="1" applyProtection="1">
      <alignment horizontal="center" vertical="center"/>
    </xf>
    <xf numFmtId="3" fontId="103" fillId="9" borderId="82" xfId="0" applyNumberFormat="1" applyFont="1" applyFill="1" applyBorder="1" applyAlignment="1" applyProtection="1">
      <alignment horizontal="centerContinuous"/>
    </xf>
    <xf numFmtId="171" fontId="20" fillId="0" borderId="0" xfId="0" applyNumberFormat="1" applyFont="1" applyAlignment="1" applyProtection="1">
      <alignment horizontal="center"/>
    </xf>
    <xf numFmtId="165" fontId="8" fillId="0" borderId="0" xfId="0" applyNumberFormat="1" applyFont="1" applyFill="1" applyProtection="1"/>
    <xf numFmtId="170" fontId="75"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170" fontId="33" fillId="0" borderId="0" xfId="0" applyFont="1" applyAlignment="1">
      <alignment horizontal="center"/>
    </xf>
    <xf numFmtId="170" fontId="33" fillId="0" borderId="0" xfId="0" applyFont="1" applyBorder="1" applyAlignment="1">
      <alignment horizontal="center"/>
    </xf>
    <xf numFmtId="170" fontId="107" fillId="0" borderId="0" xfId="0" applyFont="1" applyFill="1" applyBorder="1" applyAlignment="1" applyProtection="1">
      <alignment horizontal="right"/>
    </xf>
    <xf numFmtId="170" fontId="107" fillId="0" borderId="86" xfId="0" applyFont="1" applyFill="1" applyBorder="1" applyAlignment="1" applyProtection="1">
      <alignment horizontal="right"/>
    </xf>
    <xf numFmtId="9" fontId="108" fillId="0" borderId="0" xfId="0" applyNumberFormat="1" applyFont="1" applyFill="1" applyBorder="1" applyAlignment="1" applyProtection="1"/>
    <xf numFmtId="170" fontId="87" fillId="0" borderId="0" xfId="0" applyFont="1" applyFill="1" applyBorder="1" applyAlignment="1" applyProtection="1">
      <alignment horizontal="center" vertical="center"/>
    </xf>
    <xf numFmtId="9" fontId="108" fillId="0" borderId="0" xfId="0" applyNumberFormat="1" applyFont="1" applyFill="1" applyBorder="1" applyAlignment="1" applyProtection="1">
      <alignment horizontal="center"/>
    </xf>
    <xf numFmtId="169" fontId="39" fillId="3" borderId="0" xfId="0" applyNumberFormat="1" applyFont="1" applyFill="1" applyBorder="1" applyAlignment="1" applyProtection="1">
      <alignment vertical="center"/>
    </xf>
    <xf numFmtId="170" fontId="87" fillId="3" borderId="0" xfId="0" applyFont="1" applyFill="1" applyBorder="1" applyAlignment="1" applyProtection="1">
      <alignment horizontal="center" vertical="center"/>
    </xf>
    <xf numFmtId="170" fontId="109" fillId="3" borderId="0" xfId="0" applyFont="1" applyFill="1" applyBorder="1" applyAlignment="1" applyProtection="1">
      <alignment horizontal="center" vertical="center"/>
    </xf>
    <xf numFmtId="168" fontId="39" fillId="3" borderId="0" xfId="19" applyNumberFormat="1" applyFont="1" applyFill="1" applyBorder="1" applyAlignment="1" applyProtection="1">
      <alignment horizontal="right"/>
    </xf>
    <xf numFmtId="9" fontId="108" fillId="3" borderId="0" xfId="0" applyNumberFormat="1" applyFont="1" applyFill="1" applyBorder="1" applyProtection="1"/>
    <xf numFmtId="9" fontId="108" fillId="3" borderId="0" xfId="0" applyNumberFormat="1" applyFont="1" applyFill="1" applyBorder="1" applyAlignment="1" applyProtection="1">
      <alignment horizontal="left"/>
    </xf>
    <xf numFmtId="170" fontId="22" fillId="0" borderId="0" xfId="0" applyFont="1" applyBorder="1" applyAlignment="1" applyProtection="1">
      <alignment horizontal="center" vertical="center"/>
    </xf>
    <xf numFmtId="170" fontId="39" fillId="3" borderId="0" xfId="0" applyFont="1" applyFill="1" applyBorder="1" applyAlignment="1" applyProtection="1">
      <alignment horizontal="left" vertical="center"/>
    </xf>
    <xf numFmtId="170" fontId="110" fillId="3" borderId="0" xfId="0" applyFont="1" applyFill="1" applyBorder="1" applyAlignment="1" applyProtection="1">
      <alignment horizontal="left" vertical="center"/>
    </xf>
    <xf numFmtId="170" fontId="40" fillId="0" borderId="0" xfId="0" applyFont="1" applyFill="1" applyBorder="1" applyAlignment="1" applyProtection="1">
      <alignment horizontal="right"/>
    </xf>
    <xf numFmtId="9" fontId="108" fillId="0" borderId="0" xfId="0" applyNumberFormat="1" applyFont="1" applyFill="1" applyBorder="1" applyProtection="1"/>
    <xf numFmtId="170" fontId="40" fillId="0" borderId="0" xfId="0" applyFont="1" applyFill="1" applyBorder="1" applyProtection="1"/>
    <xf numFmtId="170" fontId="112" fillId="0" borderId="0" xfId="0" applyFont="1" applyFill="1" applyBorder="1" applyProtection="1"/>
    <xf numFmtId="170" fontId="113" fillId="0" borderId="0" xfId="0" applyFont="1" applyFill="1" applyBorder="1" applyAlignment="1" applyProtection="1">
      <alignment horizontal="center" vertical="center"/>
    </xf>
    <xf numFmtId="170" fontId="114" fillId="0" borderId="0" xfId="0" applyFont="1" applyFill="1" applyBorder="1" applyAlignment="1" applyProtection="1">
      <alignment horizontal="center" vertical="center"/>
    </xf>
    <xf numFmtId="170" fontId="114" fillId="0" borderId="0" xfId="0" applyFont="1" applyFill="1" applyBorder="1" applyAlignment="1" applyProtection="1">
      <alignment horizontal="right" vertical="center" indent="1"/>
    </xf>
    <xf numFmtId="170" fontId="115" fillId="0" borderId="0" xfId="0" applyFont="1" applyFill="1" applyBorder="1" applyAlignment="1" applyProtection="1">
      <alignment horizontal="center"/>
    </xf>
    <xf numFmtId="170" fontId="50" fillId="0" borderId="69" xfId="0" applyNumberFormat="1" applyFont="1" applyFill="1" applyBorder="1" applyAlignment="1" applyProtection="1">
      <alignment horizontal="center" vertical="center"/>
    </xf>
    <xf numFmtId="170" fontId="22" fillId="0" borderId="21" xfId="0" applyNumberFormat="1" applyFont="1" applyFill="1" applyBorder="1" applyAlignment="1" applyProtection="1">
      <alignment vertical="center"/>
    </xf>
    <xf numFmtId="170" fontId="50" fillId="0" borderId="70" xfId="0" applyNumberFormat="1" applyFont="1" applyFill="1" applyBorder="1" applyAlignment="1" applyProtection="1">
      <alignment horizontal="center" vertical="center"/>
    </xf>
    <xf numFmtId="170" fontId="22" fillId="0" borderId="22" xfId="0" applyNumberFormat="1" applyFont="1" applyFill="1" applyBorder="1" applyAlignment="1" applyProtection="1">
      <alignment vertical="center"/>
    </xf>
    <xf numFmtId="170" fontId="50" fillId="0" borderId="71" xfId="0" applyNumberFormat="1" applyFont="1" applyFill="1" applyBorder="1" applyAlignment="1" applyProtection="1">
      <alignment horizontal="center" vertical="center"/>
    </xf>
    <xf numFmtId="170" fontId="22" fillId="0" borderId="26" xfId="0" applyNumberFormat="1" applyFont="1" applyFill="1" applyBorder="1" applyAlignment="1" applyProtection="1">
      <alignment vertical="center"/>
    </xf>
    <xf numFmtId="3" fontId="8" fillId="0" borderId="0" xfId="0" applyNumberFormat="1" applyFont="1" applyFill="1" applyProtection="1"/>
    <xf numFmtId="3" fontId="103" fillId="22" borderId="83" xfId="0" applyNumberFormat="1" applyFont="1" applyFill="1" applyBorder="1" applyAlignment="1" applyProtection="1">
      <alignment horizontal="centerContinuous"/>
    </xf>
    <xf numFmtId="3" fontId="0" fillId="0" borderId="0" xfId="0" applyNumberFormat="1" applyFill="1" applyProtection="1"/>
    <xf numFmtId="170" fontId="72" fillId="0" borderId="0" xfId="0" applyFont="1" applyFill="1" applyBorder="1" applyAlignment="1" applyProtection="1">
      <alignment horizontal="center"/>
    </xf>
    <xf numFmtId="175" fontId="44" fillId="0" borderId="2" xfId="0" applyNumberFormat="1" applyFont="1" applyFill="1" applyBorder="1" applyAlignment="1" applyProtection="1">
      <alignment horizontal="center" vertical="center"/>
    </xf>
    <xf numFmtId="3" fontId="44" fillId="0" borderId="20" xfId="0" applyNumberFormat="1" applyFont="1" applyFill="1" applyBorder="1" applyAlignment="1" applyProtection="1">
      <alignment horizontal="center" vertical="center"/>
    </xf>
    <xf numFmtId="4" fontId="44" fillId="0" borderId="2" xfId="0" applyNumberFormat="1" applyFont="1" applyFill="1" applyBorder="1" applyAlignment="1" applyProtection="1">
      <alignment horizontal="center" vertical="center"/>
    </xf>
    <xf numFmtId="175" fontId="44" fillId="10" borderId="2" xfId="0" applyNumberFormat="1" applyFont="1" applyFill="1" applyBorder="1" applyAlignment="1" applyProtection="1">
      <alignment horizontal="center" vertical="center"/>
    </xf>
    <xf numFmtId="3" fontId="44" fillId="10" borderId="20" xfId="0" applyNumberFormat="1" applyFont="1" applyFill="1" applyBorder="1" applyAlignment="1" applyProtection="1">
      <alignment horizontal="center" vertical="center"/>
    </xf>
    <xf numFmtId="175" fontId="44" fillId="0" borderId="78" xfId="0" applyNumberFormat="1" applyFont="1" applyFill="1" applyBorder="1" applyAlignment="1" applyProtection="1">
      <alignment horizontal="center" vertical="center"/>
    </xf>
    <xf numFmtId="3" fontId="44" fillId="0" borderId="79" xfId="0" applyNumberFormat="1" applyFont="1" applyFill="1" applyBorder="1" applyAlignment="1" applyProtection="1">
      <alignment horizontal="center" vertical="center"/>
    </xf>
    <xf numFmtId="2" fontId="0" fillId="0" borderId="0" xfId="0" applyNumberFormat="1"/>
    <xf numFmtId="14" fontId="46" fillId="0" borderId="2" xfId="0" applyNumberFormat="1" applyFont="1" applyFill="1" applyBorder="1" applyAlignment="1" applyProtection="1">
      <alignment horizontal="center"/>
    </xf>
    <xf numFmtId="171" fontId="14" fillId="24" borderId="2" xfId="20" applyNumberFormat="1" applyFont="1" applyFill="1" applyBorder="1" applyAlignment="1" applyProtection="1">
      <alignment horizontal="center"/>
      <protection locked="0"/>
    </xf>
    <xf numFmtId="170" fontId="43" fillId="0" borderId="27" xfId="0" applyFont="1" applyBorder="1" applyAlignment="1">
      <alignment horizontal="justify" vertical="center" wrapText="1"/>
    </xf>
    <xf numFmtId="170" fontId="43" fillId="0" borderId="28" xfId="0" applyFont="1" applyBorder="1" applyAlignment="1">
      <alignment horizontal="justify" vertical="center" wrapText="1"/>
    </xf>
    <xf numFmtId="170" fontId="43" fillId="0" borderId="29" xfId="0" applyFont="1" applyBorder="1" applyAlignment="1">
      <alignment horizontal="justify" vertical="center" wrapText="1"/>
    </xf>
    <xf numFmtId="171" fontId="120" fillId="0" borderId="2" xfId="20" applyNumberFormat="1" applyFont="1" applyFill="1" applyBorder="1" applyAlignment="1" applyProtection="1">
      <alignment horizontal="center"/>
    </xf>
    <xf numFmtId="170" fontId="0" fillId="0" borderId="76" xfId="0" applyBorder="1"/>
    <xf numFmtId="170" fontId="99" fillId="0" borderId="27" xfId="0" applyFont="1" applyBorder="1" applyAlignment="1" applyProtection="1">
      <alignment vertical="center" wrapText="1"/>
      <protection locked="0"/>
    </xf>
    <xf numFmtId="170" fontId="87" fillId="18" borderId="27" xfId="0" applyFont="1" applyFill="1" applyBorder="1" applyAlignment="1" applyProtection="1">
      <alignment vertical="center" wrapText="1"/>
      <protection locked="0"/>
    </xf>
    <xf numFmtId="170" fontId="87" fillId="18" borderId="28" xfId="0" applyFont="1" applyFill="1" applyBorder="1" applyAlignment="1" applyProtection="1">
      <alignment vertical="center" wrapText="1"/>
      <protection locked="0"/>
    </xf>
    <xf numFmtId="170" fontId="87" fillId="18" borderId="29" xfId="0" applyFont="1" applyFill="1" applyBorder="1" applyAlignment="1" applyProtection="1">
      <alignment vertical="center" wrapText="1"/>
      <protection locked="0"/>
    </xf>
    <xf numFmtId="170" fontId="122" fillId="18" borderId="28" xfId="0" applyFont="1" applyFill="1" applyBorder="1" applyAlignment="1" applyProtection="1">
      <alignment vertical="center" wrapText="1"/>
      <protection locked="0"/>
    </xf>
    <xf numFmtId="170" fontId="122" fillId="18" borderId="29" xfId="0" applyFont="1" applyFill="1" applyBorder="1" applyAlignment="1" applyProtection="1">
      <alignment vertical="center" wrapText="1"/>
      <protection locked="0"/>
    </xf>
    <xf numFmtId="170" fontId="87" fillId="0" borderId="27" xfId="0" applyFont="1" applyFill="1" applyBorder="1" applyAlignment="1" applyProtection="1">
      <alignment vertical="center" wrapText="1"/>
      <protection locked="0"/>
    </xf>
    <xf numFmtId="170" fontId="87" fillId="18" borderId="28" xfId="0" applyFont="1" applyFill="1" applyBorder="1" applyAlignment="1" applyProtection="1">
      <alignment vertical="top" wrapText="1"/>
      <protection locked="0"/>
    </xf>
    <xf numFmtId="170" fontId="87" fillId="18" borderId="29" xfId="0" applyFont="1" applyFill="1" applyBorder="1" applyAlignment="1" applyProtection="1">
      <alignment vertical="top" wrapText="1"/>
      <protection locked="0"/>
    </xf>
    <xf numFmtId="170" fontId="122" fillId="18" borderId="28" xfId="0" applyFont="1" applyFill="1" applyBorder="1" applyAlignment="1" applyProtection="1">
      <alignment vertical="top" wrapText="1"/>
      <protection locked="0"/>
    </xf>
    <xf numFmtId="170" fontId="122" fillId="18" borderId="29" xfId="0" applyFont="1" applyFill="1" applyBorder="1" applyAlignment="1" applyProtection="1">
      <alignment vertical="top" wrapText="1"/>
      <protection locked="0"/>
    </xf>
    <xf numFmtId="170" fontId="99" fillId="0" borderId="2" xfId="0" applyFont="1" applyBorder="1" applyAlignment="1" applyProtection="1">
      <alignment vertical="center" wrapText="1"/>
      <protection locked="0"/>
    </xf>
    <xf numFmtId="170" fontId="87" fillId="0" borderId="2" xfId="0" applyFont="1" applyFill="1" applyBorder="1" applyAlignment="1" applyProtection="1">
      <alignment vertical="center" wrapText="1"/>
      <protection locked="0"/>
    </xf>
    <xf numFmtId="170" fontId="87" fillId="18" borderId="2" xfId="0" applyFont="1" applyFill="1" applyBorder="1" applyAlignment="1" applyProtection="1">
      <alignment vertical="center" wrapText="1"/>
      <protection locked="0"/>
    </xf>
    <xf numFmtId="170" fontId="87" fillId="0" borderId="2" xfId="0" applyFont="1" applyFill="1" applyBorder="1" applyAlignment="1" applyProtection="1">
      <alignment horizontal="justify" vertical="center" wrapText="1"/>
      <protection locked="0"/>
    </xf>
    <xf numFmtId="170" fontId="87" fillId="18" borderId="2" xfId="0" applyFont="1" applyFill="1" applyBorder="1" applyAlignment="1" applyProtection="1">
      <alignment horizontal="justify" vertical="center"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70" fontId="99" fillId="0" borderId="107" xfId="0" applyFont="1" applyBorder="1" applyAlignment="1" applyProtection="1">
      <alignment horizontal="justify" vertical="center" wrapText="1"/>
      <protection locked="0"/>
    </xf>
    <xf numFmtId="170" fontId="87" fillId="18" borderId="107" xfId="0" applyFont="1" applyFill="1" applyBorder="1" applyAlignment="1" applyProtection="1">
      <alignment horizontal="justify" vertical="center" wrapText="1"/>
      <protection locked="0"/>
    </xf>
    <xf numFmtId="170" fontId="87" fillId="18" borderId="109" xfId="0" applyFont="1" applyFill="1" applyBorder="1" applyAlignment="1" applyProtection="1">
      <alignment horizontal="justify" vertical="center" wrapText="1"/>
      <protection locked="0"/>
    </xf>
    <xf numFmtId="1" fontId="124" fillId="0" borderId="0" xfId="0" applyNumberFormat="1" applyFont="1" applyAlignment="1">
      <alignment vertical="center"/>
    </xf>
    <xf numFmtId="1" fontId="124" fillId="0" borderId="0" xfId="0" applyNumberFormat="1" applyFont="1" applyBorder="1" applyAlignment="1">
      <alignment vertical="center"/>
    </xf>
    <xf numFmtId="170" fontId="64" fillId="5" borderId="27" xfId="0" applyFont="1" applyFill="1" applyBorder="1" applyAlignment="1">
      <alignment vertical="center"/>
    </xf>
    <xf numFmtId="170" fontId="64" fillId="5" borderId="28" xfId="0" applyFont="1" applyFill="1" applyBorder="1" applyAlignment="1">
      <alignment vertical="center"/>
    </xf>
    <xf numFmtId="170" fontId="64"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7" fillId="0" borderId="0" xfId="0" applyFont="1" applyAlignment="1"/>
    <xf numFmtId="170" fontId="65" fillId="5" borderId="27" xfId="0" applyFont="1" applyFill="1" applyBorder="1" applyAlignment="1">
      <alignment vertical="center" wrapText="1"/>
    </xf>
    <xf numFmtId="170" fontId="121"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4" fillId="5" borderId="27" xfId="0" applyFont="1" applyFill="1" applyBorder="1" applyAlignment="1">
      <alignment wrapText="1"/>
    </xf>
    <xf numFmtId="170" fontId="64" fillId="5" borderId="27" xfId="0" applyFont="1" applyFill="1" applyBorder="1" applyAlignment="1"/>
    <xf numFmtId="170" fontId="64" fillId="5" borderId="28" xfId="0" applyFont="1" applyFill="1" applyBorder="1" applyAlignment="1"/>
    <xf numFmtId="170" fontId="64" fillId="5" borderId="29" xfId="0" applyFont="1" applyFill="1" applyBorder="1" applyAlignment="1"/>
    <xf numFmtId="170" fontId="43" fillId="0" borderId="109" xfId="0" applyFont="1" applyBorder="1" applyAlignment="1">
      <alignment wrapText="1"/>
    </xf>
    <xf numFmtId="170" fontId="43" fillId="0" borderId="27" xfId="0" applyFont="1" applyBorder="1" applyAlignment="1">
      <alignment vertical="center" wrapText="1"/>
    </xf>
    <xf numFmtId="170" fontId="43" fillId="0" borderId="28" xfId="0" applyFont="1" applyBorder="1" applyAlignment="1">
      <alignment vertical="center" wrapText="1"/>
    </xf>
    <xf numFmtId="170" fontId="43" fillId="0" borderId="29" xfId="0" applyFont="1" applyBorder="1" applyAlignment="1">
      <alignment vertical="center" wrapText="1"/>
    </xf>
    <xf numFmtId="164" fontId="59" fillId="0" borderId="27" xfId="0" applyNumberFormat="1" applyFont="1" applyBorder="1" applyAlignment="1">
      <alignment vertical="center" wrapText="1"/>
    </xf>
    <xf numFmtId="170" fontId="87" fillId="0" borderId="111" xfId="0" applyFont="1" applyBorder="1" applyAlignment="1">
      <alignment vertical="center" wrapText="1"/>
    </xf>
    <xf numFmtId="170" fontId="87" fillId="0" borderId="27" xfId="0" applyFont="1" applyBorder="1" applyAlignment="1">
      <alignment vertical="center" wrapText="1"/>
    </xf>
    <xf numFmtId="170" fontId="87" fillId="0" borderId="28" xfId="0" applyFont="1" applyBorder="1" applyAlignment="1">
      <alignment vertical="center" wrapText="1"/>
    </xf>
    <xf numFmtId="170" fontId="87" fillId="0" borderId="29" xfId="0" applyFont="1" applyBorder="1" applyAlignment="1">
      <alignment vertical="center" wrapText="1"/>
    </xf>
    <xf numFmtId="164" fontId="59" fillId="0" borderId="109" xfId="0" applyNumberFormat="1" applyFont="1" applyBorder="1" applyAlignment="1">
      <alignment vertical="center" wrapText="1"/>
    </xf>
    <xf numFmtId="170" fontId="59" fillId="0" borderId="111" xfId="0" applyFont="1" applyBorder="1" applyAlignment="1">
      <alignment vertical="center" wrapText="1"/>
    </xf>
    <xf numFmtId="170" fontId="60" fillId="0" borderId="111" xfId="0" applyFont="1" applyBorder="1" applyAlignment="1">
      <alignment vertical="center" wrapText="1"/>
    </xf>
    <xf numFmtId="170" fontId="43" fillId="0" borderId="109" xfId="0" applyFont="1" applyBorder="1" applyAlignment="1">
      <alignment vertical="center" wrapText="1"/>
    </xf>
    <xf numFmtId="170" fontId="43" fillId="0" borderId="108" xfId="0" applyFont="1" applyBorder="1" applyAlignment="1">
      <alignment vertical="center" wrapText="1"/>
    </xf>
    <xf numFmtId="170" fontId="43" fillId="0" borderId="110" xfId="0" applyFont="1" applyBorder="1" applyAlignment="1">
      <alignment vertical="center" wrapText="1"/>
    </xf>
    <xf numFmtId="170" fontId="43" fillId="0" borderId="111" xfId="0" applyFont="1" applyBorder="1" applyAlignment="1">
      <alignment vertical="center" wrapText="1"/>
    </xf>
    <xf numFmtId="170" fontId="43" fillId="0" borderId="73" xfId="0" applyFont="1" applyBorder="1" applyAlignment="1">
      <alignment vertical="center" wrapText="1"/>
    </xf>
    <xf numFmtId="170" fontId="43" fillId="0" borderId="75" xfId="0" applyFont="1" applyBorder="1" applyAlignment="1">
      <alignment vertical="center" wrapText="1"/>
    </xf>
    <xf numFmtId="170" fontId="0" fillId="0" borderId="0" xfId="0" applyBorder="1" applyAlignment="1">
      <alignment wrapText="1"/>
    </xf>
    <xf numFmtId="170" fontId="58" fillId="6" borderId="27" xfId="0" applyFont="1" applyFill="1" applyBorder="1" applyAlignment="1"/>
    <xf numFmtId="170" fontId="58" fillId="6" borderId="28" xfId="0" applyFont="1" applyFill="1" applyBorder="1" applyAlignment="1"/>
    <xf numFmtId="170" fontId="58" fillId="6" borderId="29" xfId="0" applyFont="1" applyFill="1" applyBorder="1" applyAlignment="1"/>
    <xf numFmtId="170" fontId="0" fillId="0" borderId="0" xfId="0" applyBorder="1" applyAlignment="1"/>
    <xf numFmtId="170" fontId="60" fillId="0" borderId="27" xfId="0" applyFont="1" applyBorder="1" applyAlignment="1">
      <alignment vertical="center" wrapText="1"/>
    </xf>
    <xf numFmtId="164" fontId="10" fillId="14" borderId="0" xfId="12" applyFont="1" applyFill="1" applyAlignment="1" applyProtection="1">
      <alignment vertical="center"/>
    </xf>
    <xf numFmtId="170" fontId="58" fillId="9" borderId="27" xfId="0" applyFont="1" applyFill="1" applyBorder="1" applyAlignment="1"/>
    <xf numFmtId="170" fontId="58" fillId="9" borderId="28" xfId="0" applyFont="1" applyFill="1" applyBorder="1" applyAlignment="1"/>
    <xf numFmtId="170" fontId="58" fillId="9" borderId="29" xfId="0" applyFont="1" applyFill="1" applyBorder="1" applyAlignment="1"/>
    <xf numFmtId="9" fontId="60" fillId="0" borderId="27" xfId="19" applyFont="1" applyBorder="1" applyAlignment="1">
      <alignment vertical="center" wrapText="1"/>
    </xf>
    <xf numFmtId="170" fontId="0" fillId="0" borderId="108" xfId="0" applyBorder="1" applyAlignment="1">
      <alignment wrapText="1"/>
    </xf>
    <xf numFmtId="170" fontId="0" fillId="0" borderId="108" xfId="0" applyBorder="1" applyAlignment="1"/>
    <xf numFmtId="170" fontId="131" fillId="0" borderId="2" xfId="0" applyFont="1" applyBorder="1" applyAlignment="1" applyProtection="1">
      <alignment vertical="center" wrapText="1"/>
      <protection locked="0"/>
    </xf>
    <xf numFmtId="170" fontId="130" fillId="0" borderId="2" xfId="0" applyFont="1" applyFill="1" applyBorder="1" applyAlignment="1" applyProtection="1">
      <alignment vertical="center" wrapText="1"/>
      <protection locked="0"/>
    </xf>
    <xf numFmtId="170" fontId="130" fillId="18" borderId="2" xfId="0" applyFont="1" applyFill="1" applyBorder="1" applyAlignment="1" applyProtection="1">
      <alignment vertical="center" wrapText="1"/>
      <protection locked="0"/>
    </xf>
    <xf numFmtId="170" fontId="130" fillId="18" borderId="27" xfId="0" applyFont="1" applyFill="1" applyBorder="1" applyAlignment="1" applyProtection="1">
      <alignment vertical="center" wrapText="1"/>
      <protection locked="0"/>
    </xf>
    <xf numFmtId="170" fontId="25" fillId="25" borderId="0" xfId="0" applyFont="1" applyFill="1" applyBorder="1" applyAlignment="1">
      <alignment horizontal="center" vertical="center" textRotation="90"/>
    </xf>
    <xf numFmtId="0" fontId="87" fillId="18" borderId="27" xfId="0" applyNumberFormat="1" applyFont="1" applyFill="1" applyBorder="1" applyAlignment="1" applyProtection="1">
      <alignment vertical="center" wrapText="1"/>
      <protection locked="0"/>
    </xf>
    <xf numFmtId="170" fontId="87" fillId="18" borderId="27" xfId="0" applyFont="1" applyFill="1" applyBorder="1" applyAlignment="1" applyProtection="1">
      <alignment horizontal="left" vertical="center" wrapText="1"/>
      <protection locked="0"/>
    </xf>
    <xf numFmtId="2" fontId="0" fillId="0" borderId="0" xfId="0" applyNumberFormat="1" applyProtection="1"/>
    <xf numFmtId="2" fontId="0" fillId="0" borderId="0" xfId="0" applyNumberFormat="1" applyFill="1" applyProtection="1"/>
    <xf numFmtId="170" fontId="81" fillId="0" borderId="0" xfId="0" applyFont="1" applyAlignment="1" applyProtection="1">
      <alignment horizontal="right"/>
    </xf>
    <xf numFmtId="170" fontId="81" fillId="0" borderId="0" xfId="0" applyFont="1" applyBorder="1" applyAlignment="1" applyProtection="1">
      <alignment horizontal="right"/>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71" fontId="17" fillId="6" borderId="25" xfId="20" applyNumberFormat="1" applyFont="1" applyFill="1" applyBorder="1" applyAlignment="1" applyProtection="1">
      <alignment horizontal="center"/>
    </xf>
    <xf numFmtId="164" fontId="20" fillId="0" borderId="0" xfId="0" applyNumberFormat="1" applyFont="1" applyAlignment="1" applyProtection="1">
      <alignment horizontal="right"/>
    </xf>
    <xf numFmtId="15" fontId="20" fillId="0" borderId="0" xfId="0" applyNumberFormat="1" applyFont="1" applyAlignment="1" applyProtection="1">
      <alignment horizontal="right"/>
    </xf>
    <xf numFmtId="164" fontId="7" fillId="0" borderId="0" xfId="0" applyNumberFormat="1" applyFont="1" applyAlignment="1" applyProtection="1">
      <alignment horizontal="center"/>
    </xf>
    <xf numFmtId="170" fontId="26" fillId="0" borderId="2" xfId="0" applyFont="1" applyBorder="1" applyAlignment="1" applyProtection="1">
      <alignment horizontal="center" vertical="center" wrapText="1"/>
    </xf>
    <xf numFmtId="9" fontId="0" fillId="0" borderId="0" xfId="19" applyFont="1" applyProtection="1"/>
    <xf numFmtId="170" fontId="22" fillId="3" borderId="27" xfId="0" applyFont="1" applyFill="1" applyBorder="1" applyAlignment="1" applyProtection="1"/>
    <xf numFmtId="168" fontId="135" fillId="3" borderId="2" xfId="0" applyNumberFormat="1" applyFont="1" applyFill="1" applyBorder="1" applyAlignment="1" applyProtection="1">
      <alignment horizontal="center"/>
    </xf>
    <xf numFmtId="168" fontId="135" fillId="0" borderId="2" xfId="0" applyNumberFormat="1" applyFont="1" applyBorder="1" applyAlignment="1" applyProtection="1">
      <alignment horizontal="center"/>
    </xf>
    <xf numFmtId="168" fontId="136" fillId="23" borderId="68" xfId="0" applyNumberFormat="1" applyFont="1" applyFill="1" applyBorder="1" applyAlignment="1" applyProtection="1">
      <alignment horizontal="center"/>
    </xf>
    <xf numFmtId="168" fontId="22" fillId="23" borderId="68" xfId="0" applyNumberFormat="1" applyFont="1" applyFill="1" applyBorder="1" applyAlignment="1" applyProtection="1">
      <alignment horizontal="center"/>
    </xf>
    <xf numFmtId="170" fontId="22" fillId="3" borderId="43" xfId="0" applyFont="1" applyFill="1" applyBorder="1" applyAlignment="1" applyProtection="1"/>
    <xf numFmtId="168" fontId="135" fillId="3" borderId="44" xfId="0" applyNumberFormat="1" applyFont="1" applyFill="1" applyBorder="1" applyAlignment="1" applyProtection="1">
      <alignment horizontal="center"/>
    </xf>
    <xf numFmtId="168" fontId="135" fillId="0" borderId="44" xfId="0" applyNumberFormat="1" applyFont="1" applyBorder="1" applyAlignment="1" applyProtection="1">
      <alignment horizontal="center"/>
    </xf>
    <xf numFmtId="14" fontId="0" fillId="0" borderId="2" xfId="0" applyNumberFormat="1" applyBorder="1" applyAlignment="1" applyProtection="1">
      <alignment horizontal="center"/>
    </xf>
    <xf numFmtId="49" fontId="0" fillId="0" borderId="2" xfId="0" applyNumberFormat="1" applyBorder="1" applyAlignment="1" applyProtection="1">
      <alignment horizontal="center"/>
    </xf>
    <xf numFmtId="49" fontId="55" fillId="0" borderId="2" xfId="0" applyNumberFormat="1" applyFont="1" applyBorder="1" applyAlignment="1" applyProtection="1">
      <alignment horizontal="center" wrapText="1"/>
    </xf>
    <xf numFmtId="170" fontId="8" fillId="0" borderId="0" xfId="0" applyFont="1" applyFill="1" applyProtection="1"/>
    <xf numFmtId="166" fontId="8" fillId="3" borderId="0" xfId="0" applyNumberFormat="1" applyFont="1" applyFill="1" applyProtection="1"/>
    <xf numFmtId="170" fontId="8" fillId="3" borderId="0" xfId="0" applyFont="1" applyFill="1" applyProtection="1"/>
    <xf numFmtId="165" fontId="24" fillId="0" borderId="47" xfId="0" applyNumberFormat="1" applyFont="1" applyFill="1" applyBorder="1" applyAlignment="1" applyProtection="1">
      <alignment horizontal="center"/>
    </xf>
    <xf numFmtId="170" fontId="14" fillId="0" borderId="0" xfId="0" applyFont="1" applyFill="1" applyProtection="1"/>
    <xf numFmtId="170" fontId="14" fillId="0" borderId="0" xfId="0" applyNumberFormat="1" applyFont="1" applyFill="1" applyProtection="1"/>
    <xf numFmtId="165" fontId="24" fillId="0" borderId="0" xfId="0" applyNumberFormat="1" applyFont="1" applyFill="1" applyBorder="1" applyAlignment="1" applyProtection="1">
      <alignment horizontal="center"/>
    </xf>
    <xf numFmtId="164" fontId="20" fillId="0" borderId="0" xfId="0" applyNumberFormat="1" applyFont="1" applyFill="1" applyBorder="1" applyAlignment="1" applyProtection="1"/>
    <xf numFmtId="166" fontId="4" fillId="0" borderId="0" xfId="1" applyNumberFormat="1" applyFont="1" applyFill="1" applyBorder="1" applyAlignment="1" applyProtection="1"/>
    <xf numFmtId="166" fontId="4" fillId="0" borderId="0" xfId="1" applyNumberFormat="1" applyFont="1" applyFill="1" applyBorder="1" applyProtection="1"/>
    <xf numFmtId="170" fontId="76" fillId="0" borderId="0" xfId="0" applyFont="1" applyFill="1" applyBorder="1" applyAlignment="1" applyProtection="1">
      <alignment horizontal="left"/>
    </xf>
    <xf numFmtId="164" fontId="31" fillId="0" borderId="0" xfId="23" applyFont="1" applyFill="1" applyBorder="1" applyAlignment="1" applyProtection="1">
      <alignment horizontal="center" vertical="center"/>
    </xf>
    <xf numFmtId="3" fontId="0" fillId="0" borderId="0" xfId="0" applyNumberFormat="1" applyFill="1" applyBorder="1" applyProtection="1"/>
    <xf numFmtId="170" fontId="20" fillId="0" borderId="23" xfId="0" applyFont="1" applyBorder="1" applyAlignment="1" applyProtection="1">
      <alignment horizontal="center" wrapText="1"/>
    </xf>
    <xf numFmtId="170" fontId="0" fillId="0" borderId="23" xfId="0" applyBorder="1" applyAlignment="1" applyProtection="1">
      <alignment horizontal="center" wrapText="1"/>
    </xf>
    <xf numFmtId="49" fontId="0" fillId="6" borderId="2" xfId="0" applyNumberFormat="1" applyFill="1" applyBorder="1" applyProtection="1"/>
    <xf numFmtId="170" fontId="0" fillId="6" borderId="2" xfId="0" applyNumberFormat="1" applyFill="1" applyBorder="1" applyProtection="1"/>
    <xf numFmtId="3" fontId="0" fillId="6" borderId="2" xfId="0" applyNumberFormat="1" applyFill="1" applyBorder="1" applyProtection="1"/>
    <xf numFmtId="170" fontId="0" fillId="6" borderId="2" xfId="0" applyNumberFormat="1" applyFill="1" applyBorder="1" applyAlignment="1" applyProtection="1">
      <alignment horizontal="center"/>
    </xf>
    <xf numFmtId="49" fontId="0" fillId="6" borderId="44" xfId="0" applyNumberFormat="1" applyFill="1" applyBorder="1" applyAlignment="1" applyProtection="1">
      <alignment horizontal="left"/>
    </xf>
    <xf numFmtId="170" fontId="0" fillId="6" borderId="44" xfId="0" applyNumberFormat="1" applyFill="1" applyBorder="1" applyProtection="1"/>
    <xf numFmtId="3" fontId="0" fillId="6" borderId="44" xfId="0" applyNumberFormat="1" applyFill="1" applyBorder="1" applyProtection="1"/>
    <xf numFmtId="170" fontId="0" fillId="6" borderId="44" xfId="0" applyNumberFormat="1" applyFill="1" applyBorder="1" applyAlignment="1" applyProtection="1">
      <alignment horizontal="center"/>
    </xf>
    <xf numFmtId="170" fontId="0" fillId="5" borderId="63" xfId="0" applyFill="1" applyBorder="1" applyProtection="1"/>
    <xf numFmtId="165" fontId="7" fillId="2" borderId="55" xfId="0" applyNumberFormat="1" applyFont="1" applyFill="1" applyBorder="1" applyAlignment="1" applyProtection="1">
      <alignment horizontal="center"/>
    </xf>
    <xf numFmtId="165" fontId="7" fillId="2" borderId="56" xfId="0" applyNumberFormat="1" applyFont="1" applyFill="1" applyBorder="1" applyAlignment="1" applyProtection="1">
      <alignment horizontal="center"/>
    </xf>
    <xf numFmtId="2" fontId="123" fillId="0" borderId="222" xfId="0" applyNumberFormat="1" applyFont="1" applyBorder="1" applyAlignment="1" applyProtection="1"/>
    <xf numFmtId="170" fontId="0" fillId="0" borderId="80" xfId="0" applyBorder="1" applyProtection="1"/>
    <xf numFmtId="164" fontId="0" fillId="0" borderId="0" xfId="0" quotePrefix="1" applyNumberFormat="1" applyProtection="1"/>
    <xf numFmtId="164" fontId="0" fillId="0" borderId="0" xfId="0" applyNumberFormat="1" applyProtection="1"/>
    <xf numFmtId="164" fontId="9" fillId="0" borderId="0" xfId="13" applyFont="1" applyFill="1" applyAlignment="1" applyProtection="1">
      <alignment vertical="center"/>
    </xf>
    <xf numFmtId="170" fontId="22" fillId="5" borderId="0" xfId="0" applyFont="1" applyFill="1" applyBorder="1" applyAlignment="1" applyProtection="1">
      <alignment horizontal="left"/>
    </xf>
    <xf numFmtId="170" fontId="102" fillId="0" borderId="0" xfId="0" applyFont="1" applyBorder="1" applyAlignment="1" applyProtection="1">
      <alignment horizontal="left"/>
    </xf>
    <xf numFmtId="22" fontId="0" fillId="0" borderId="0" xfId="0" applyNumberFormat="1" applyProtection="1"/>
    <xf numFmtId="170" fontId="0" fillId="0" borderId="0" xfId="0" applyBorder="1" applyAlignment="1" applyProtection="1">
      <alignment horizontal="center"/>
    </xf>
    <xf numFmtId="2" fontId="100" fillId="0" borderId="0" xfId="20" applyNumberFormat="1" applyFill="1" applyBorder="1" applyAlignment="1" applyProtection="1">
      <alignment horizontal="center"/>
    </xf>
    <xf numFmtId="15" fontId="0"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53" fillId="3" borderId="0" xfId="0" applyNumberFormat="1" applyFont="1" applyFill="1" applyBorder="1" applyAlignment="1" applyProtection="1">
      <alignment horizontal="center"/>
    </xf>
    <xf numFmtId="170" fontId="117" fillId="0" borderId="0" xfId="0" applyFont="1" applyProtection="1"/>
    <xf numFmtId="170" fontId="1" fillId="0" borderId="0" xfId="0" applyFont="1" applyBorder="1" applyAlignment="1" applyProtection="1"/>
    <xf numFmtId="170" fontId="1" fillId="0" borderId="0" xfId="0" applyFont="1" applyFill="1" applyBorder="1" applyAlignment="1" applyProtection="1"/>
    <xf numFmtId="170" fontId="54" fillId="0" borderId="0" xfId="0" applyFont="1" applyProtection="1"/>
    <xf numFmtId="170" fontId="20" fillId="0" borderId="0" xfId="0" applyFont="1" applyFill="1" applyBorder="1" applyAlignment="1" applyProtection="1">
      <alignment vertical="center" wrapText="1"/>
    </xf>
    <xf numFmtId="170" fontId="20" fillId="0" borderId="0" xfId="0" applyFont="1" applyFill="1" applyBorder="1" applyAlignment="1" applyProtection="1">
      <alignment horizontal="center"/>
    </xf>
    <xf numFmtId="170" fontId="0" fillId="3" borderId="0" xfId="0" applyFill="1" applyBorder="1" applyAlignment="1" applyProtection="1">
      <alignment horizontal="center"/>
    </xf>
    <xf numFmtId="164" fontId="9" fillId="0" borderId="0" xfId="4" applyFont="1" applyFill="1" applyAlignment="1" applyProtection="1">
      <alignment vertical="center"/>
    </xf>
    <xf numFmtId="170" fontId="118" fillId="0" borderId="0" xfId="0" applyFont="1" applyProtection="1"/>
    <xf numFmtId="170" fontId="119" fillId="5" borderId="0" xfId="0" applyFont="1" applyFill="1" applyBorder="1" applyAlignment="1" applyProtection="1">
      <alignment horizontal="left"/>
    </xf>
    <xf numFmtId="170" fontId="116" fillId="0" borderId="0" xfId="0" applyFont="1" applyProtection="1"/>
    <xf numFmtId="170" fontId="118" fillId="0" borderId="0" xfId="0" applyFont="1" applyBorder="1" applyAlignment="1" applyProtection="1">
      <alignment horizontal="left" wrapText="1"/>
    </xf>
    <xf numFmtId="170" fontId="26" fillId="0" borderId="0" xfId="0" applyFont="1" applyFill="1" applyAlignment="1" applyProtection="1">
      <alignment horizontal="left"/>
    </xf>
    <xf numFmtId="170" fontId="26" fillId="0" borderId="0" xfId="0" applyFont="1" applyFill="1" applyBorder="1" applyAlignment="1" applyProtection="1">
      <alignment horizontal="left"/>
    </xf>
    <xf numFmtId="170" fontId="125" fillId="0" borderId="0" xfId="0" applyFont="1" applyAlignment="1" applyProtection="1">
      <alignment horizontal="center" vertical="center"/>
    </xf>
    <xf numFmtId="170" fontId="102" fillId="0" borderId="0" xfId="0" applyFont="1" applyProtection="1"/>
    <xf numFmtId="171" fontId="20" fillId="0" borderId="0" xfId="0" applyNumberFormat="1" applyFont="1" applyProtection="1"/>
    <xf numFmtId="170" fontId="6" fillId="0" borderId="0" xfId="0" applyFont="1" applyProtection="1"/>
    <xf numFmtId="170" fontId="126" fillId="0" borderId="0" xfId="0" applyFont="1" applyAlignment="1" applyProtection="1">
      <alignment horizontal="center" vertical="center"/>
    </xf>
    <xf numFmtId="170" fontId="128" fillId="0" borderId="0" xfId="0" applyFont="1" applyProtection="1"/>
    <xf numFmtId="170" fontId="129" fillId="0" borderId="0" xfId="0" applyFont="1" applyAlignment="1" applyProtection="1">
      <alignment horizontal="center"/>
    </xf>
    <xf numFmtId="170" fontId="129" fillId="0" borderId="0" xfId="0" applyFont="1" applyProtection="1"/>
    <xf numFmtId="170" fontId="132" fillId="0" borderId="0" xfId="0" applyFont="1" applyProtection="1"/>
    <xf numFmtId="3" fontId="133" fillId="3" borderId="3" xfId="0" applyNumberFormat="1" applyFont="1" applyFill="1" applyBorder="1" applyAlignment="1" applyProtection="1">
      <alignment horizontal="right"/>
    </xf>
    <xf numFmtId="3" fontId="133" fillId="3" borderId="3" xfId="1" applyNumberFormat="1" applyFont="1" applyFill="1" applyBorder="1" applyProtection="1"/>
    <xf numFmtId="9" fontId="133" fillId="3" borderId="3" xfId="19" applyFont="1" applyFill="1" applyBorder="1" applyProtection="1"/>
    <xf numFmtId="170" fontId="133" fillId="0" borderId="0" xfId="0" applyFont="1" applyProtection="1"/>
    <xf numFmtId="170" fontId="134" fillId="0" borderId="0" xfId="0" applyFont="1" applyProtection="1"/>
    <xf numFmtId="2" fontId="125" fillId="0" borderId="0" xfId="0" applyNumberFormat="1" applyFont="1" applyAlignment="1" applyProtection="1">
      <alignment horizontal="center" vertical="center"/>
    </xf>
    <xf numFmtId="49" fontId="102" fillId="24" borderId="2" xfId="0" applyNumberFormat="1" applyFont="1" applyFill="1" applyBorder="1" applyAlignment="1" applyProtection="1">
      <alignment horizontal="center"/>
      <protection locked="0"/>
    </xf>
    <xf numFmtId="164" fontId="20" fillId="0" borderId="0" xfId="0" applyNumberFormat="1" applyFont="1" applyAlignment="1" applyProtection="1">
      <alignment horizontal="right"/>
    </xf>
    <xf numFmtId="170" fontId="0" fillId="0" borderId="0" xfId="0" applyAlignment="1" applyProtection="1">
      <alignment wrapText="1"/>
    </xf>
    <xf numFmtId="170" fontId="138" fillId="0" borderId="41" xfId="0" applyFont="1" applyFill="1" applyBorder="1" applyAlignment="1" applyProtection="1">
      <alignment horizontal="center" vertical="center"/>
    </xf>
    <xf numFmtId="170" fontId="138" fillId="0" borderId="84" xfId="0" applyFont="1" applyFill="1" applyBorder="1" applyAlignment="1" applyProtection="1">
      <alignment horizontal="center" vertical="center" wrapText="1"/>
    </xf>
    <xf numFmtId="170" fontId="139" fillId="0" borderId="30" xfId="0" applyFont="1" applyFill="1" applyBorder="1" applyAlignment="1" applyProtection="1">
      <alignment horizontal="center"/>
    </xf>
    <xf numFmtId="165" fontId="140" fillId="2" borderId="55" xfId="0" applyNumberFormat="1" applyFont="1" applyFill="1" applyBorder="1" applyAlignment="1" applyProtection="1">
      <alignment horizontal="center"/>
    </xf>
    <xf numFmtId="170" fontId="139" fillId="0" borderId="2" xfId="0" applyFont="1" applyFill="1" applyBorder="1" applyAlignment="1" applyProtection="1">
      <alignment horizontal="center"/>
    </xf>
    <xf numFmtId="168" fontId="139" fillId="5" borderId="2" xfId="0" applyNumberFormat="1" applyFont="1" applyFill="1" applyBorder="1" applyAlignment="1" applyProtection="1">
      <alignment horizontal="center" vertical="center"/>
      <protection locked="0"/>
    </xf>
    <xf numFmtId="3" fontId="139" fillId="5" borderId="20" xfId="0" applyNumberFormat="1" applyFont="1" applyFill="1" applyBorder="1" applyAlignment="1" applyProtection="1">
      <alignment horizontal="center" vertical="center"/>
      <protection locked="0"/>
    </xf>
    <xf numFmtId="2" fontId="138" fillId="5" borderId="2" xfId="0" applyNumberFormat="1" applyFont="1" applyFill="1" applyBorder="1" applyAlignment="1" applyProtection="1">
      <alignment horizontal="center" vertical="center"/>
      <protection locked="0"/>
    </xf>
    <xf numFmtId="168" fontId="138" fillId="5" borderId="2" xfId="0" applyNumberFormat="1" applyFont="1" applyFill="1" applyBorder="1" applyAlignment="1" applyProtection="1">
      <alignment horizontal="center" vertical="center"/>
      <protection locked="0"/>
    </xf>
    <xf numFmtId="3" fontId="138" fillId="5" borderId="20" xfId="0" applyNumberFormat="1" applyFont="1" applyFill="1" applyBorder="1" applyAlignment="1" applyProtection="1">
      <alignment horizontal="center" vertical="center"/>
      <protection locked="0"/>
    </xf>
    <xf numFmtId="170" fontId="139" fillId="19" borderId="2" xfId="0" applyFont="1" applyFill="1" applyBorder="1" applyAlignment="1" applyProtection="1">
      <alignment horizontal="center"/>
    </xf>
    <xf numFmtId="176" fontId="139" fillId="20" borderId="2" xfId="0" applyNumberFormat="1" applyFont="1" applyFill="1" applyBorder="1" applyAlignment="1" applyProtection="1">
      <alignment horizontal="center" vertical="center"/>
      <protection locked="0"/>
    </xf>
    <xf numFmtId="168" fontId="139" fillId="20" borderId="2" xfId="0" applyNumberFormat="1" applyFont="1" applyFill="1" applyBorder="1" applyAlignment="1" applyProtection="1">
      <alignment horizontal="center" vertical="center"/>
      <protection locked="0"/>
    </xf>
    <xf numFmtId="3" fontId="139" fillId="7" borderId="20" xfId="0" applyNumberFormat="1" applyFont="1" applyFill="1" applyBorder="1" applyAlignment="1" applyProtection="1">
      <alignment horizontal="center" vertical="center"/>
      <protection locked="0"/>
    </xf>
    <xf numFmtId="176" fontId="138" fillId="20" borderId="2" xfId="0" applyNumberFormat="1" applyFont="1" applyFill="1" applyBorder="1" applyAlignment="1" applyProtection="1">
      <alignment horizontal="center" vertical="center"/>
      <protection locked="0"/>
    </xf>
    <xf numFmtId="168" fontId="138" fillId="20" borderId="2" xfId="0" applyNumberFormat="1" applyFont="1" applyFill="1" applyBorder="1" applyAlignment="1" applyProtection="1">
      <alignment horizontal="center" vertical="center"/>
      <protection locked="0"/>
    </xf>
    <xf numFmtId="3" fontId="138" fillId="7" borderId="20" xfId="0" applyNumberFormat="1" applyFont="1" applyFill="1" applyBorder="1" applyAlignment="1" applyProtection="1">
      <alignment horizontal="center" vertical="center"/>
      <protection locked="0"/>
    </xf>
    <xf numFmtId="3" fontId="139" fillId="12" borderId="2" xfId="0" applyNumberFormat="1" applyFont="1" applyFill="1" applyBorder="1" applyAlignment="1" applyProtection="1">
      <alignment horizontal="center" vertical="center"/>
      <protection locked="0"/>
    </xf>
    <xf numFmtId="10" fontId="139" fillId="21" borderId="2" xfId="19" applyNumberFormat="1" applyFont="1" applyFill="1" applyBorder="1" applyAlignment="1" applyProtection="1">
      <alignment horizontal="center" vertical="center"/>
      <protection locked="0"/>
    </xf>
    <xf numFmtId="10" fontId="139" fillId="5" borderId="20" xfId="19" applyNumberFormat="1" applyFont="1" applyFill="1" applyBorder="1" applyAlignment="1" applyProtection="1">
      <alignment horizontal="center" vertical="center"/>
      <protection locked="0"/>
    </xf>
    <xf numFmtId="10" fontId="138" fillId="5" borderId="2" xfId="19" applyNumberFormat="1" applyFont="1" applyFill="1" applyBorder="1" applyAlignment="1" applyProtection="1">
      <alignment horizontal="center" vertical="center"/>
      <protection locked="0"/>
    </xf>
    <xf numFmtId="10" fontId="138" fillId="21" borderId="2" xfId="19" applyNumberFormat="1" applyFont="1" applyFill="1" applyBorder="1" applyAlignment="1" applyProtection="1">
      <alignment horizontal="center" vertical="center"/>
      <protection locked="0"/>
    </xf>
    <xf numFmtId="10" fontId="138" fillId="5" borderId="20" xfId="19" applyNumberFormat="1" applyFont="1" applyFill="1" applyBorder="1" applyAlignment="1" applyProtection="1">
      <alignment horizontal="center" vertical="center"/>
      <protection locked="0"/>
    </xf>
    <xf numFmtId="176" fontId="139" fillId="7" borderId="2" xfId="0" applyNumberFormat="1" applyFont="1" applyFill="1" applyBorder="1" applyAlignment="1" applyProtection="1">
      <alignment horizontal="center" vertical="center"/>
      <protection locked="0"/>
    </xf>
    <xf numFmtId="168" fontId="139" fillId="7" borderId="2" xfId="0" applyNumberFormat="1" applyFont="1" applyFill="1" applyBorder="1" applyAlignment="1" applyProtection="1">
      <alignment horizontal="center" vertical="center"/>
      <protection locked="0"/>
    </xf>
    <xf numFmtId="170" fontId="139" fillId="11" borderId="2" xfId="0" applyFont="1" applyFill="1" applyBorder="1" applyAlignment="1" applyProtection="1">
      <alignment horizontal="center"/>
    </xf>
    <xf numFmtId="1" fontId="139" fillId="12" borderId="2" xfId="0" applyNumberFormat="1" applyFont="1" applyFill="1" applyBorder="1" applyAlignment="1" applyProtection="1">
      <alignment horizontal="center" vertical="center"/>
      <protection locked="0"/>
    </xf>
    <xf numFmtId="3" fontId="139" fillId="12" borderId="20" xfId="0" applyNumberFormat="1" applyFont="1" applyFill="1" applyBorder="1" applyAlignment="1" applyProtection="1">
      <alignment horizontal="center" vertical="center"/>
      <protection locked="0"/>
    </xf>
    <xf numFmtId="170" fontId="139" fillId="10" borderId="2" xfId="0" applyFont="1" applyFill="1" applyBorder="1" applyAlignment="1" applyProtection="1">
      <alignment horizontal="center"/>
    </xf>
    <xf numFmtId="3" fontId="139" fillId="7" borderId="2" xfId="0" applyNumberFormat="1" applyFont="1" applyFill="1" applyBorder="1" applyAlignment="1" applyProtection="1">
      <alignment horizontal="center" vertical="center"/>
      <protection locked="0"/>
    </xf>
    <xf numFmtId="1" fontId="139" fillId="7" borderId="2" xfId="0" applyNumberFormat="1" applyFont="1" applyFill="1" applyBorder="1" applyAlignment="1" applyProtection="1">
      <alignment horizontal="center" vertical="center"/>
      <protection locked="0"/>
    </xf>
    <xf numFmtId="10" fontId="139" fillId="12" borderId="2" xfId="0" applyNumberFormat="1" applyFont="1" applyFill="1" applyBorder="1" applyAlignment="1" applyProtection="1">
      <alignment horizontal="center" vertical="center"/>
      <protection locked="0"/>
    </xf>
    <xf numFmtId="168" fontId="139" fillId="12" borderId="2" xfId="0" applyNumberFormat="1" applyFont="1" applyFill="1" applyBorder="1" applyAlignment="1" applyProtection="1">
      <alignment horizontal="center" vertical="center"/>
      <protection locked="0"/>
    </xf>
    <xf numFmtId="10" fontId="138" fillId="12" borderId="2" xfId="0" applyNumberFormat="1" applyFont="1" applyFill="1" applyBorder="1" applyAlignment="1" applyProtection="1">
      <alignment horizontal="center" vertical="center"/>
      <protection locked="0"/>
    </xf>
    <xf numFmtId="168" fontId="138" fillId="12" borderId="2" xfId="0" applyNumberFormat="1" applyFont="1" applyFill="1" applyBorder="1" applyAlignment="1" applyProtection="1">
      <alignment horizontal="center" vertical="center"/>
      <protection locked="0"/>
    </xf>
    <xf numFmtId="3" fontId="138" fillId="12" borderId="20" xfId="0" applyNumberFormat="1" applyFont="1" applyFill="1" applyBorder="1" applyAlignment="1" applyProtection="1">
      <alignment horizontal="center" vertical="center"/>
      <protection locked="0"/>
    </xf>
    <xf numFmtId="168" fontId="139" fillId="7" borderId="2" xfId="0" applyNumberFormat="1" applyFont="1" applyFill="1" applyBorder="1" applyAlignment="1" applyProtection="1">
      <alignment horizontal="right" vertical="center"/>
      <protection locked="0"/>
    </xf>
    <xf numFmtId="3" fontId="139" fillId="7" borderId="20" xfId="0" applyNumberFormat="1" applyFont="1" applyFill="1" applyBorder="1" applyAlignment="1" applyProtection="1">
      <alignment horizontal="right" vertical="center"/>
      <protection locked="0"/>
    </xf>
    <xf numFmtId="2" fontId="138" fillId="7" borderId="2" xfId="0" applyNumberFormat="1" applyFont="1" applyFill="1" applyBorder="1" applyAlignment="1" applyProtection="1">
      <alignment horizontal="center" vertical="center"/>
      <protection locked="0"/>
    </xf>
    <xf numFmtId="168" fontId="138" fillId="7" borderId="2" xfId="0" applyNumberFormat="1" applyFont="1" applyFill="1" applyBorder="1" applyAlignment="1" applyProtection="1">
      <alignment horizontal="right" vertical="center"/>
      <protection locked="0"/>
    </xf>
    <xf numFmtId="3" fontId="138" fillId="7" borderId="20" xfId="0" applyNumberFormat="1" applyFont="1" applyFill="1" applyBorder="1" applyAlignment="1" applyProtection="1">
      <alignment horizontal="right" vertical="center"/>
      <protection locked="0"/>
    </xf>
    <xf numFmtId="3" fontId="139" fillId="12" borderId="2" xfId="0" applyNumberFormat="1" applyFont="1" applyFill="1" applyBorder="1" applyAlignment="1" applyProtection="1">
      <alignment vertical="center"/>
      <protection locked="0"/>
    </xf>
    <xf numFmtId="3" fontId="139" fillId="12" borderId="20" xfId="0" applyNumberFormat="1" applyFont="1" applyFill="1" applyBorder="1" applyAlignment="1" applyProtection="1">
      <alignment vertical="center"/>
      <protection locked="0"/>
    </xf>
    <xf numFmtId="176" fontId="138" fillId="7" borderId="2" xfId="0" applyNumberFormat="1" applyFont="1" applyFill="1" applyBorder="1" applyAlignment="1" applyProtection="1">
      <alignment horizontal="center" vertical="center"/>
      <protection locked="0"/>
    </xf>
    <xf numFmtId="1" fontId="138" fillId="7" borderId="2" xfId="0" applyNumberFormat="1" applyFont="1" applyFill="1" applyBorder="1" applyAlignment="1" applyProtection="1">
      <alignment horizontal="center" vertical="center"/>
      <protection locked="0"/>
    </xf>
    <xf numFmtId="1" fontId="138" fillId="12" borderId="2" xfId="0" applyNumberFormat="1" applyFont="1" applyFill="1" applyBorder="1" applyAlignment="1" applyProtection="1">
      <alignment horizontal="center" vertical="center"/>
      <protection locked="0"/>
    </xf>
    <xf numFmtId="3" fontId="138" fillId="12" borderId="2" xfId="0" applyNumberFormat="1" applyFont="1" applyFill="1" applyBorder="1" applyAlignment="1" applyProtection="1">
      <alignment vertical="center"/>
      <protection locked="0"/>
    </xf>
    <xf numFmtId="3" fontId="138" fillId="12" borderId="20" xfId="0" applyNumberFormat="1" applyFont="1" applyFill="1" applyBorder="1" applyAlignment="1" applyProtection="1">
      <alignment vertical="center"/>
      <protection locked="0"/>
    </xf>
    <xf numFmtId="10" fontId="138" fillId="7" borderId="2" xfId="0" applyNumberFormat="1" applyFont="1" applyFill="1" applyBorder="1" applyAlignment="1" applyProtection="1">
      <alignment horizontal="center" vertical="center"/>
      <protection locked="0"/>
    </xf>
    <xf numFmtId="168" fontId="138" fillId="7" borderId="2" xfId="0" applyNumberFormat="1" applyFont="1" applyFill="1" applyBorder="1" applyAlignment="1" applyProtection="1">
      <alignment horizontal="center" vertical="center"/>
      <protection locked="0"/>
    </xf>
    <xf numFmtId="3" fontId="138" fillId="12" borderId="2" xfId="0" applyNumberFormat="1" applyFont="1" applyFill="1" applyBorder="1" applyAlignment="1" applyProtection="1">
      <alignment horizontal="center" vertical="center"/>
      <protection locked="0"/>
    </xf>
    <xf numFmtId="49" fontId="141" fillId="0" borderId="60" xfId="0" applyNumberFormat="1" applyFont="1" applyFill="1" applyBorder="1" applyAlignment="1" applyProtection="1">
      <alignment horizontal="justify" wrapText="1"/>
    </xf>
    <xf numFmtId="4" fontId="42" fillId="9" borderId="100" xfId="1" applyNumberFormat="1" applyFont="1" applyFill="1" applyBorder="1" applyAlignment="1" applyProtection="1">
      <protection locked="0"/>
    </xf>
    <xf numFmtId="4" fontId="42" fillId="9" borderId="101" xfId="1" applyNumberFormat="1" applyFont="1" applyFill="1" applyBorder="1" applyProtection="1">
      <protection locked="0"/>
    </xf>
    <xf numFmtId="2" fontId="142" fillId="0" borderId="0" xfId="0" applyNumberFormat="1" applyFont="1" applyProtection="1"/>
    <xf numFmtId="176" fontId="143" fillId="0" borderId="0" xfId="19" applyNumberFormat="1" applyFont="1" applyFill="1" applyBorder="1" applyAlignment="1" applyProtection="1">
      <alignment horizontal="center"/>
    </xf>
    <xf numFmtId="4" fontId="42" fillId="9" borderId="100" xfId="1" applyNumberFormat="1" applyFont="1" applyFill="1" applyBorder="1" applyProtection="1">
      <protection locked="0"/>
    </xf>
    <xf numFmtId="49" fontId="141" fillId="0" borderId="60" xfId="0" applyNumberFormat="1" applyFont="1" applyFill="1" applyBorder="1" applyAlignment="1" applyProtection="1">
      <alignment horizontal="justify"/>
    </xf>
    <xf numFmtId="170" fontId="141" fillId="0" borderId="60" xfId="0" applyFont="1" applyFill="1" applyBorder="1" applyAlignment="1" applyProtection="1">
      <alignment wrapText="1"/>
    </xf>
    <xf numFmtId="3" fontId="42" fillId="9" borderId="100" xfId="1" applyNumberFormat="1" applyFont="1" applyFill="1" applyBorder="1" applyAlignment="1" applyProtection="1">
      <protection locked="0"/>
    </xf>
    <xf numFmtId="3" fontId="42" fillId="9" borderId="101" xfId="1" applyNumberFormat="1" applyFont="1" applyFill="1" applyBorder="1" applyProtection="1">
      <protection locked="0"/>
    </xf>
    <xf numFmtId="170" fontId="142" fillId="0" borderId="61" xfId="0" applyFont="1" applyBorder="1" applyAlignment="1" applyProtection="1"/>
    <xf numFmtId="4" fontId="144" fillId="0" borderId="102" xfId="0" applyNumberFormat="1" applyFont="1" applyBorder="1" applyProtection="1"/>
    <xf numFmtId="4" fontId="144" fillId="0" borderId="103" xfId="0" applyNumberFormat="1" applyFont="1" applyBorder="1" applyProtection="1"/>
    <xf numFmtId="170" fontId="17" fillId="0" borderId="13" xfId="0" applyFont="1" applyBorder="1" applyAlignment="1" applyProtection="1">
      <alignment horizontal="center"/>
    </xf>
    <xf numFmtId="170" fontId="17" fillId="0" borderId="13" xfId="0" applyFont="1" applyBorder="1" applyAlignment="1" applyProtection="1">
      <alignment horizontal="center" wrapText="1"/>
    </xf>
    <xf numFmtId="170" fontId="17" fillId="0" borderId="14" xfId="0" applyFont="1" applyBorder="1" applyAlignment="1" applyProtection="1">
      <alignment horizontal="center"/>
    </xf>
    <xf numFmtId="170" fontId="145" fillId="0" borderId="0" xfId="0" applyFont="1" applyFill="1" applyBorder="1" applyProtection="1"/>
    <xf numFmtId="170" fontId="145" fillId="0" borderId="0" xfId="0" applyFont="1" applyBorder="1" applyProtection="1"/>
    <xf numFmtId="1" fontId="146" fillId="6" borderId="2" xfId="0" applyNumberFormat="1" applyFont="1" applyFill="1" applyBorder="1" applyAlignment="1" applyProtection="1">
      <alignment horizontal="center"/>
      <protection locked="0"/>
    </xf>
    <xf numFmtId="1" fontId="146" fillId="3" borderId="106" xfId="0" applyNumberFormat="1" applyFont="1" applyFill="1" applyBorder="1" applyAlignment="1" applyProtection="1">
      <alignment horizontal="center"/>
    </xf>
    <xf numFmtId="170" fontId="145" fillId="0" borderId="0" xfId="0" applyFont="1" applyFill="1" applyBorder="1" applyAlignment="1" applyProtection="1">
      <alignment horizontal="left" vertical="top"/>
    </xf>
    <xf numFmtId="1" fontId="146" fillId="6" borderId="31" xfId="0" applyNumberFormat="1" applyFont="1" applyFill="1" applyBorder="1" applyAlignment="1" applyProtection="1">
      <alignment horizontal="center"/>
      <protection locked="0"/>
    </xf>
    <xf numFmtId="1" fontId="146" fillId="3" borderId="17" xfId="0" applyNumberFormat="1" applyFont="1" applyFill="1" applyBorder="1" applyAlignment="1" applyProtection="1">
      <alignment horizontal="center"/>
    </xf>
    <xf numFmtId="164" fontId="147" fillId="0" borderId="0" xfId="23" applyFont="1" applyBorder="1" applyAlignment="1" applyProtection="1"/>
    <xf numFmtId="170" fontId="145" fillId="0" borderId="18" xfId="0" applyFont="1" applyBorder="1" applyProtection="1"/>
    <xf numFmtId="170" fontId="145" fillId="0" borderId="13" xfId="0" applyFont="1" applyBorder="1" applyAlignment="1" applyProtection="1">
      <alignment horizontal="center"/>
    </xf>
    <xf numFmtId="170" fontId="145" fillId="0" borderId="14" xfId="0" applyFont="1" applyBorder="1" applyAlignment="1" applyProtection="1">
      <alignment horizontal="center"/>
    </xf>
    <xf numFmtId="170" fontId="145" fillId="0" borderId="16" xfId="0" applyFont="1" applyBorder="1" applyAlignment="1" applyProtection="1">
      <alignment horizontal="center"/>
    </xf>
    <xf numFmtId="3" fontId="148" fillId="6" borderId="31" xfId="0" applyNumberFormat="1" applyFont="1" applyFill="1" applyBorder="1" applyAlignment="1" applyProtection="1">
      <alignment horizontal="center"/>
      <protection locked="0"/>
    </xf>
    <xf numFmtId="3" fontId="148" fillId="0" borderId="17" xfId="0" applyNumberFormat="1" applyFont="1" applyFill="1" applyBorder="1" applyAlignment="1" applyProtection="1">
      <alignment horizontal="center"/>
    </xf>
    <xf numFmtId="170" fontId="149" fillId="0" borderId="0" xfId="0" applyFont="1" applyFill="1" applyBorder="1" applyAlignment="1" applyProtection="1">
      <alignment horizontal="right"/>
    </xf>
    <xf numFmtId="15" fontId="13" fillId="0" borderId="0" xfId="0" applyNumberFormat="1" applyFont="1" applyFill="1" applyBorder="1" applyAlignment="1" applyProtection="1">
      <alignment horizontal="left"/>
    </xf>
    <xf numFmtId="170" fontId="145" fillId="0" borderId="14" xfId="0" applyFont="1" applyBorder="1" applyAlignment="1" applyProtection="1">
      <alignment horizontal="center" wrapText="1"/>
    </xf>
    <xf numFmtId="3" fontId="148" fillId="6" borderId="17" xfId="0" applyNumberFormat="1" applyFont="1" applyFill="1" applyBorder="1" applyAlignment="1" applyProtection="1">
      <alignment horizontal="center"/>
      <protection locked="0"/>
    </xf>
    <xf numFmtId="15" fontId="145" fillId="0" borderId="0" xfId="0" applyNumberFormat="1" applyFont="1" applyFill="1" applyBorder="1" applyAlignment="1" applyProtection="1">
      <alignment horizontal="center"/>
    </xf>
    <xf numFmtId="170" fontId="148" fillId="0" borderId="0" xfId="0" applyFont="1" applyBorder="1" applyProtection="1"/>
    <xf numFmtId="170" fontId="145" fillId="0" borderId="0" xfId="0" applyFont="1" applyProtection="1"/>
    <xf numFmtId="170" fontId="17" fillId="0" borderId="15" xfId="0" applyFont="1" applyBorder="1" applyAlignment="1" applyProtection="1">
      <alignment horizontal="center"/>
    </xf>
    <xf numFmtId="1" fontId="148" fillId="6" borderId="2" xfId="0" applyNumberFormat="1" applyFont="1" applyFill="1" applyBorder="1" applyAlignment="1" applyProtection="1">
      <alignment horizontal="center"/>
      <protection locked="0"/>
    </xf>
    <xf numFmtId="1" fontId="148" fillId="0" borderId="106" xfId="0" applyNumberFormat="1" applyFont="1" applyFill="1" applyBorder="1" applyAlignment="1" applyProtection="1">
      <alignment horizontal="center"/>
    </xf>
    <xf numFmtId="170" fontId="17" fillId="0" borderId="16" xfId="0" applyFont="1" applyBorder="1" applyAlignment="1" applyProtection="1">
      <alignment horizontal="center"/>
    </xf>
    <xf numFmtId="1" fontId="148" fillId="6" borderId="31" xfId="0" applyNumberFormat="1" applyFont="1" applyFill="1" applyBorder="1" applyAlignment="1" applyProtection="1">
      <alignment horizontal="center"/>
      <protection locked="0"/>
    </xf>
    <xf numFmtId="3" fontId="148" fillId="3" borderId="17" xfId="0" applyNumberFormat="1" applyFont="1" applyFill="1" applyBorder="1" applyAlignment="1" applyProtection="1">
      <alignment horizontal="center"/>
    </xf>
    <xf numFmtId="170" fontId="145" fillId="0" borderId="24" xfId="0" applyFont="1" applyBorder="1" applyProtection="1"/>
    <xf numFmtId="165" fontId="17" fillId="2" borderId="48" xfId="0" applyNumberFormat="1" applyFont="1" applyFill="1" applyBorder="1" applyAlignment="1" applyProtection="1">
      <alignment horizontal="center"/>
    </xf>
    <xf numFmtId="165" fontId="17" fillId="2" borderId="49" xfId="0" applyNumberFormat="1" applyFont="1" applyFill="1" applyBorder="1" applyAlignment="1" applyProtection="1">
      <alignment horizontal="center"/>
    </xf>
    <xf numFmtId="170" fontId="145" fillId="0" borderId="50" xfId="0" applyFont="1" applyFill="1" applyBorder="1" applyAlignment="1" applyProtection="1">
      <alignment horizontal="center"/>
    </xf>
    <xf numFmtId="3" fontId="148" fillId="6" borderId="2" xfId="0" applyNumberFormat="1" applyFont="1" applyFill="1" applyBorder="1" applyAlignment="1" applyProtection="1">
      <alignment horizontal="right" wrapText="1"/>
      <protection locked="0"/>
    </xf>
    <xf numFmtId="3" fontId="145" fillId="6" borderId="2" xfId="0" applyNumberFormat="1" applyFont="1" applyFill="1" applyBorder="1" applyAlignment="1" applyProtection="1">
      <alignment horizontal="right" wrapText="1"/>
      <protection locked="0"/>
    </xf>
    <xf numFmtId="3" fontId="145" fillId="6" borderId="82" xfId="0" applyNumberFormat="1" applyFont="1" applyFill="1" applyBorder="1" applyAlignment="1" applyProtection="1">
      <alignment horizontal="right" wrapText="1"/>
      <protection locked="0"/>
    </xf>
    <xf numFmtId="170" fontId="145" fillId="0" borderId="40" xfId="0" applyFont="1" applyBorder="1" applyAlignment="1" applyProtection="1">
      <alignment horizontal="center"/>
    </xf>
    <xf numFmtId="3" fontId="148" fillId="0" borderId="2" xfId="0" applyNumberFormat="1" applyFont="1" applyFill="1" applyBorder="1" applyProtection="1">
      <protection locked="0"/>
    </xf>
    <xf numFmtId="3" fontId="148" fillId="0" borderId="2" xfId="0" applyNumberFormat="1" applyFont="1" applyBorder="1" applyAlignment="1" applyProtection="1">
      <alignment horizontal="right" wrapText="1"/>
      <protection locked="0"/>
    </xf>
    <xf numFmtId="3" fontId="145" fillId="0" borderId="2" xfId="0" applyNumberFormat="1" applyFont="1" applyBorder="1" applyAlignment="1" applyProtection="1">
      <alignment horizontal="right" wrapText="1"/>
      <protection locked="0"/>
    </xf>
    <xf numFmtId="3" fontId="148" fillId="0" borderId="82" xfId="0" applyNumberFormat="1" applyFont="1" applyBorder="1" applyAlignment="1" applyProtection="1">
      <alignment horizontal="right" wrapText="1"/>
      <protection locked="0"/>
    </xf>
    <xf numFmtId="170" fontId="145" fillId="0" borderId="81" xfId="0" applyFont="1" applyBorder="1" applyAlignment="1" applyProtection="1">
      <alignment horizontal="center" wrapText="1"/>
    </xf>
    <xf numFmtId="3" fontId="148" fillId="0" borderId="44" xfId="0" applyNumberFormat="1" applyFont="1" applyFill="1" applyBorder="1" applyProtection="1">
      <protection locked="0"/>
    </xf>
    <xf numFmtId="3" fontId="145" fillId="0" borderId="44" xfId="0" applyNumberFormat="1" applyFont="1" applyBorder="1" applyAlignment="1" applyProtection="1">
      <alignment horizontal="right" wrapText="1"/>
      <protection locked="0"/>
    </xf>
    <xf numFmtId="3" fontId="148" fillId="0" borderId="44" xfId="0" applyNumberFormat="1" applyFont="1" applyBorder="1" applyAlignment="1" applyProtection="1">
      <alignment horizontal="right" wrapText="1"/>
      <protection locked="0"/>
    </xf>
    <xf numFmtId="3" fontId="148" fillId="0" borderId="83" xfId="0" applyNumberFormat="1" applyFont="1" applyBorder="1" applyAlignment="1" applyProtection="1">
      <alignment horizontal="right" wrapText="1"/>
      <protection locked="0"/>
    </xf>
    <xf numFmtId="170" fontId="17" fillId="0" borderId="7" xfId="0" applyFont="1" applyBorder="1" applyAlignment="1" applyProtection="1">
      <alignment horizontal="center"/>
    </xf>
    <xf numFmtId="165" fontId="17" fillId="2" borderId="45" xfId="0" applyNumberFormat="1" applyFont="1" applyFill="1" applyBorder="1" applyAlignment="1" applyProtection="1">
      <alignment horizontal="center"/>
    </xf>
    <xf numFmtId="165" fontId="17" fillId="2" borderId="46" xfId="0" applyNumberFormat="1" applyFont="1" applyFill="1" applyBorder="1" applyAlignment="1" applyProtection="1">
      <alignment horizontal="center"/>
    </xf>
    <xf numFmtId="15" fontId="17" fillId="0" borderId="32" xfId="0" applyNumberFormat="1" applyFont="1" applyBorder="1" applyAlignment="1" applyProtection="1">
      <alignment horizontal="center"/>
    </xf>
    <xf numFmtId="3" fontId="146" fillId="9" borderId="45" xfId="0" applyNumberFormat="1" applyFont="1" applyFill="1" applyBorder="1" applyAlignment="1" applyProtection="1">
      <protection locked="0"/>
    </xf>
    <xf numFmtId="3" fontId="13" fillId="9" borderId="45" xfId="0" applyNumberFormat="1" applyFont="1" applyFill="1" applyBorder="1" applyAlignment="1" applyProtection="1">
      <protection locked="0"/>
    </xf>
    <xf numFmtId="3" fontId="13" fillId="9" borderId="221" xfId="0" applyNumberFormat="1" applyFont="1" applyFill="1" applyBorder="1" applyAlignment="1" applyProtection="1">
      <protection locked="0"/>
    </xf>
    <xf numFmtId="3" fontId="146" fillId="9" borderId="221" xfId="0" applyNumberFormat="1" applyFont="1" applyFill="1" applyBorder="1" applyAlignment="1" applyProtection="1">
      <protection locked="0"/>
    </xf>
    <xf numFmtId="3" fontId="13" fillId="9" borderId="51" xfId="0" applyNumberFormat="1" applyFont="1" applyFill="1" applyBorder="1" applyAlignment="1" applyProtection="1">
      <protection locked="0"/>
    </xf>
    <xf numFmtId="3" fontId="146" fillId="9" borderId="51" xfId="0" applyNumberFormat="1" applyFont="1" applyFill="1" applyBorder="1" applyAlignment="1" applyProtection="1">
      <protection locked="0"/>
    </xf>
    <xf numFmtId="15" fontId="17" fillId="0" borderId="8" xfId="0" applyNumberFormat="1" applyFont="1" applyBorder="1" applyAlignment="1" applyProtection="1">
      <alignment horizontal="center"/>
    </xf>
    <xf numFmtId="3" fontId="146" fillId="18" borderId="45" xfId="0" applyNumberFormat="1" applyFont="1" applyFill="1" applyBorder="1" applyAlignment="1" applyProtection="1"/>
    <xf numFmtId="3" fontId="146" fillId="0" borderId="2" xfId="0" applyNumberFormat="1" applyFont="1" applyFill="1" applyBorder="1" applyAlignment="1" applyProtection="1"/>
    <xf numFmtId="3" fontId="13" fillId="0" borderId="2" xfId="0" applyNumberFormat="1" applyFont="1" applyFill="1" applyBorder="1" applyAlignment="1" applyProtection="1"/>
    <xf numFmtId="170" fontId="17" fillId="0" borderId="9" xfId="0" applyFont="1" applyBorder="1" applyAlignment="1" applyProtection="1">
      <alignment horizontal="center"/>
    </xf>
    <xf numFmtId="3" fontId="146" fillId="0" borderId="215" xfId="0" applyNumberFormat="1" applyFont="1" applyFill="1" applyBorder="1" applyAlignment="1" applyProtection="1"/>
    <xf numFmtId="3" fontId="146" fillId="0" borderId="52" xfId="0" applyNumberFormat="1" applyFont="1" applyFill="1" applyBorder="1" applyAlignment="1" applyProtection="1"/>
    <xf numFmtId="3" fontId="13" fillId="0" borderId="52" xfId="0" applyNumberFormat="1" applyFont="1" applyFill="1" applyBorder="1" applyAlignment="1" applyProtection="1"/>
    <xf numFmtId="170" fontId="150" fillId="0" borderId="35" xfId="0" applyFont="1" applyBorder="1" applyAlignment="1" applyProtection="1">
      <alignment vertical="distributed"/>
    </xf>
    <xf numFmtId="15" fontId="150" fillId="0" borderId="36" xfId="0" applyNumberFormat="1" applyFont="1" applyFill="1" applyBorder="1" applyAlignment="1" applyProtection="1">
      <alignment horizontal="center" vertical="center" wrapText="1"/>
    </xf>
    <xf numFmtId="15" fontId="150" fillId="0" borderId="67" xfId="0" applyNumberFormat="1" applyFont="1" applyFill="1" applyBorder="1" applyAlignment="1" applyProtection="1">
      <alignment horizontal="center" vertical="center" wrapText="1"/>
    </xf>
    <xf numFmtId="170" fontId="142" fillId="0" borderId="0" xfId="0" applyFont="1" applyFill="1" applyProtection="1"/>
    <xf numFmtId="170" fontId="151" fillId="0" borderId="33" xfId="0" applyFont="1" applyBorder="1" applyAlignment="1" applyProtection="1"/>
    <xf numFmtId="4" fontId="42" fillId="0" borderId="53" xfId="1" applyNumberFormat="1" applyFont="1" applyFill="1" applyBorder="1" applyAlignment="1" applyProtection="1"/>
    <xf numFmtId="4" fontId="42" fillId="9" borderId="2" xfId="1" applyNumberFormat="1" applyFont="1" applyFill="1" applyBorder="1" applyAlignment="1" applyProtection="1">
      <protection locked="0"/>
    </xf>
    <xf numFmtId="170" fontId="151" fillId="0" borderId="34" xfId="0" applyFont="1" applyBorder="1" applyAlignment="1" applyProtection="1"/>
    <xf numFmtId="4" fontId="42" fillId="0" borderId="54" xfId="1" applyNumberFormat="1" applyFont="1" applyFill="1" applyBorder="1" applyAlignment="1" applyProtection="1"/>
    <xf numFmtId="170" fontId="142" fillId="0" borderId="0" xfId="0" applyFont="1" applyProtection="1"/>
    <xf numFmtId="4" fontId="42" fillId="0" borderId="128" xfId="1" applyNumberFormat="1" applyFont="1" applyFill="1" applyBorder="1" applyAlignment="1" applyProtection="1"/>
    <xf numFmtId="170" fontId="142" fillId="0" borderId="0" xfId="0" applyFont="1" applyFill="1" applyBorder="1" applyProtection="1"/>
    <xf numFmtId="170" fontId="142" fillId="0" borderId="0" xfId="0" quotePrefix="1" applyFont="1" applyProtection="1"/>
    <xf numFmtId="15" fontId="141" fillId="0" borderId="10" xfId="0" applyNumberFormat="1" applyFont="1" applyFill="1" applyBorder="1" applyAlignment="1" applyProtection="1"/>
    <xf numFmtId="15" fontId="141" fillId="0" borderId="2" xfId="0" applyNumberFormat="1" applyFont="1" applyFill="1" applyBorder="1" applyAlignment="1" applyProtection="1">
      <alignment horizontal="center"/>
    </xf>
    <xf numFmtId="15" fontId="141" fillId="0" borderId="38" xfId="0" applyNumberFormat="1" applyFont="1" applyFill="1" applyBorder="1" applyAlignment="1" applyProtection="1">
      <alignment horizontal="center"/>
    </xf>
    <xf numFmtId="170" fontId="141" fillId="0" borderId="10" xfId="0" applyFont="1" applyFill="1" applyBorder="1" applyProtection="1"/>
    <xf numFmtId="1" fontId="144" fillId="9" borderId="2" xfId="0" applyNumberFormat="1" applyFont="1" applyFill="1" applyBorder="1" applyAlignment="1" applyProtection="1">
      <alignment horizontal="center"/>
      <protection locked="0"/>
    </xf>
    <xf numFmtId="1" fontId="144" fillId="9" borderId="38" xfId="0" applyNumberFormat="1" applyFont="1" applyFill="1" applyBorder="1" applyAlignment="1" applyProtection="1">
      <alignment horizontal="center"/>
      <protection locked="0"/>
    </xf>
    <xf numFmtId="170" fontId="141" fillId="0" borderId="37" xfId="0" applyFont="1" applyFill="1" applyBorder="1" applyAlignment="1" applyProtection="1"/>
    <xf numFmtId="170" fontId="141" fillId="0" borderId="11" xfId="0" applyFont="1" applyFill="1" applyBorder="1" applyProtection="1"/>
    <xf numFmtId="1" fontId="144" fillId="9" borderId="52" xfId="0" applyNumberFormat="1" applyFont="1" applyFill="1" applyBorder="1" applyAlignment="1" applyProtection="1">
      <alignment horizontal="center"/>
      <protection locked="0"/>
    </xf>
    <xf numFmtId="1" fontId="144" fillId="9" borderId="105" xfId="0" applyNumberFormat="1" applyFont="1" applyFill="1" applyBorder="1" applyAlignment="1" applyProtection="1">
      <alignment horizontal="center"/>
      <protection locked="0"/>
    </xf>
    <xf numFmtId="2" fontId="152" fillId="0" borderId="0" xfId="0" applyNumberFormat="1" applyFont="1" applyAlignment="1" applyProtection="1">
      <alignment horizontal="center" vertical="center"/>
    </xf>
    <xf numFmtId="175" fontId="13" fillId="0" borderId="2" xfId="0" applyNumberFormat="1" applyFont="1" applyBorder="1" applyAlignment="1" applyProtection="1">
      <alignment horizontal="center" vertical="center" wrapText="1"/>
    </xf>
    <xf numFmtId="170" fontId="148" fillId="0" borderId="0" xfId="0" applyFont="1" applyProtection="1"/>
    <xf numFmtId="3" fontId="155" fillId="3" borderId="3" xfId="0" applyNumberFormat="1" applyFont="1" applyFill="1" applyBorder="1" applyAlignment="1" applyProtection="1">
      <alignment horizontal="right"/>
    </xf>
    <xf numFmtId="9" fontId="155" fillId="3" borderId="3" xfId="19" applyNumberFormat="1" applyFont="1" applyFill="1" applyBorder="1" applyProtection="1"/>
    <xf numFmtId="9" fontId="155" fillId="3" borderId="3" xfId="19" applyFont="1" applyFill="1" applyBorder="1" applyProtection="1"/>
    <xf numFmtId="170" fontId="155" fillId="0" borderId="0" xfId="0" applyFont="1" applyProtection="1"/>
    <xf numFmtId="170" fontId="156" fillId="0" borderId="0" xfId="0" applyFont="1" applyProtection="1"/>
    <xf numFmtId="10" fontId="13" fillId="0" borderId="2" xfId="19" applyNumberFormat="1" applyFont="1" applyBorder="1" applyAlignment="1" applyProtection="1">
      <alignment horizontal="center" vertical="center" wrapText="1"/>
    </xf>
    <xf numFmtId="170" fontId="155" fillId="3" borderId="3" xfId="0" applyFont="1" applyFill="1" applyBorder="1" applyProtection="1"/>
    <xf numFmtId="9" fontId="155" fillId="3" borderId="3" xfId="19" applyFont="1" applyFill="1" applyBorder="1" applyAlignment="1" applyProtection="1">
      <alignment horizontal="center"/>
    </xf>
    <xf numFmtId="164" fontId="155" fillId="0" borderId="0" xfId="0" applyNumberFormat="1" applyFont="1" applyProtection="1"/>
    <xf numFmtId="176" fontId="13" fillId="0" borderId="2" xfId="19" applyNumberFormat="1" applyFont="1" applyBorder="1" applyAlignment="1" applyProtection="1">
      <alignment horizontal="center" vertical="center" wrapText="1"/>
    </xf>
    <xf numFmtId="170" fontId="146" fillId="3" borderId="3" xfId="0" applyFont="1" applyFill="1" applyBorder="1" applyProtection="1"/>
    <xf numFmtId="9" fontId="146" fillId="3" borderId="3" xfId="19" applyFont="1" applyFill="1" applyBorder="1" applyProtection="1"/>
    <xf numFmtId="170" fontId="83" fillId="0" borderId="0" xfId="0" applyFont="1" applyProtection="1"/>
    <xf numFmtId="170" fontId="146" fillId="0" borderId="0" xfId="0" applyFont="1" applyProtection="1"/>
    <xf numFmtId="170" fontId="158" fillId="0" borderId="0" xfId="0" applyFont="1" applyProtection="1"/>
    <xf numFmtId="170" fontId="20" fillId="5" borderId="0" xfId="0" applyFont="1" applyFill="1" applyBorder="1" applyAlignment="1" applyProtection="1">
      <alignment horizontal="right" vertical="top" wrapText="1"/>
    </xf>
    <xf numFmtId="170" fontId="76" fillId="5" borderId="0" xfId="0" applyFont="1" applyFill="1" applyBorder="1" applyAlignment="1" applyProtection="1">
      <alignment horizontal="right" vertical="top" wrapText="1"/>
    </xf>
    <xf numFmtId="164" fontId="24" fillId="0" borderId="0" xfId="0" applyNumberFormat="1" applyFont="1" applyAlignment="1" applyProtection="1">
      <alignment horizontal="center"/>
    </xf>
    <xf numFmtId="170" fontId="101" fillId="0" borderId="0" xfId="0" applyFont="1" applyProtection="1"/>
    <xf numFmtId="164" fontId="101" fillId="0" borderId="0" xfId="0" applyNumberFormat="1" applyFont="1" applyAlignment="1" applyProtection="1">
      <alignment horizontal="right"/>
    </xf>
    <xf numFmtId="170" fontId="127" fillId="0" borderId="0" xfId="0" applyFont="1" applyProtection="1"/>
    <xf numFmtId="170" fontId="160" fillId="0" borderId="0" xfId="0" applyFont="1" applyAlignment="1" applyProtection="1">
      <alignment horizontal="center"/>
    </xf>
    <xf numFmtId="170" fontId="160" fillId="0" borderId="0" xfId="0" applyFont="1" applyProtection="1"/>
    <xf numFmtId="170" fontId="101" fillId="0" borderId="0" xfId="0" applyFont="1" applyAlignment="1" applyProtection="1">
      <alignment horizontal="left" vertical="center" wrapText="1"/>
    </xf>
    <xf numFmtId="170" fontId="127" fillId="0" borderId="0" xfId="0" applyFont="1" applyAlignment="1" applyProtection="1">
      <alignment horizontal="left" vertical="center" wrapText="1"/>
    </xf>
    <xf numFmtId="170" fontId="128" fillId="0" borderId="0" xfId="0" applyFont="1" applyAlignment="1" applyProtection="1">
      <alignment wrapText="1"/>
    </xf>
    <xf numFmtId="0" fontId="153" fillId="0" borderId="0" xfId="0" applyNumberFormat="1" applyFont="1" applyAlignment="1" applyProtection="1">
      <alignment horizontal="left" vertical="center" wrapText="1"/>
    </xf>
    <xf numFmtId="170" fontId="0" fillId="0" borderId="0" xfId="0" applyFont="1" applyBorder="1" applyProtection="1"/>
    <xf numFmtId="170" fontId="161" fillId="0" borderId="0" xfId="0" applyFont="1" applyBorder="1" applyAlignment="1" applyProtection="1">
      <alignment horizontal="center"/>
    </xf>
    <xf numFmtId="170" fontId="0" fillId="0" borderId="0" xfId="0" applyFont="1" applyFill="1" applyBorder="1" applyProtection="1"/>
    <xf numFmtId="170" fontId="162" fillId="0" borderId="0" xfId="0" applyFont="1" applyFill="1" applyBorder="1" applyAlignment="1" applyProtection="1">
      <alignment horizontal="center"/>
    </xf>
    <xf numFmtId="170" fontId="162" fillId="0" borderId="0" xfId="0" applyFont="1" applyFill="1" applyBorder="1" applyAlignment="1" applyProtection="1">
      <alignment horizontal="center" vertical="center"/>
    </xf>
    <xf numFmtId="170" fontId="163" fillId="0" borderId="0" xfId="0" applyFont="1" applyFill="1" applyBorder="1" applyAlignment="1" applyProtection="1">
      <alignment horizontal="center" wrapText="1"/>
    </xf>
    <xf numFmtId="4" fontId="42" fillId="9" borderId="2" xfId="1" quotePrefix="1" applyNumberFormat="1" applyFont="1" applyFill="1" applyBorder="1" applyProtection="1">
      <protection locked="0"/>
    </xf>
    <xf numFmtId="4" fontId="42" fillId="9" borderId="104" xfId="1" applyNumberFormat="1" applyFont="1" applyFill="1" applyBorder="1" applyAlignment="1" applyProtection="1">
      <protection locked="0"/>
    </xf>
    <xf numFmtId="10" fontId="164" fillId="21" borderId="2" xfId="19" applyNumberFormat="1" applyFont="1" applyFill="1" applyBorder="1" applyAlignment="1" applyProtection="1">
      <alignment horizontal="center" vertical="center"/>
      <protection locked="0"/>
    </xf>
    <xf numFmtId="168" fontId="164" fillId="7" borderId="2" xfId="0" applyNumberFormat="1" applyFont="1" applyFill="1" applyBorder="1" applyAlignment="1" applyProtection="1">
      <alignment horizontal="center" vertical="center"/>
      <protection locked="0"/>
    </xf>
    <xf numFmtId="1" fontId="164" fillId="12" borderId="2" xfId="0" applyNumberFormat="1" applyFont="1" applyFill="1" applyBorder="1" applyAlignment="1" applyProtection="1">
      <alignment horizontal="center" vertical="center"/>
      <protection locked="0"/>
    </xf>
    <xf numFmtId="1" fontId="164" fillId="7" borderId="2" xfId="0" applyNumberFormat="1" applyFont="1" applyFill="1" applyBorder="1" applyAlignment="1" applyProtection="1">
      <alignment horizontal="center" vertical="center"/>
      <protection locked="0"/>
    </xf>
    <xf numFmtId="10" fontId="164" fillId="12" borderId="2" xfId="0" applyNumberFormat="1" applyFont="1" applyFill="1" applyBorder="1" applyAlignment="1" applyProtection="1">
      <alignment horizontal="center" vertical="center"/>
      <protection locked="0"/>
    </xf>
    <xf numFmtId="3" fontId="164" fillId="12" borderId="2" xfId="0" applyNumberFormat="1" applyFont="1" applyFill="1" applyBorder="1" applyAlignment="1" applyProtection="1">
      <alignment horizontal="center" vertical="center"/>
      <protection locked="0"/>
    </xf>
    <xf numFmtId="10" fontId="139" fillId="7" borderId="2" xfId="0" applyNumberFormat="1" applyFont="1" applyFill="1" applyBorder="1" applyAlignment="1" applyProtection="1">
      <alignment horizontal="center" vertical="center"/>
      <protection locked="0"/>
    </xf>
    <xf numFmtId="10" fontId="164" fillId="7" borderId="2" xfId="0" applyNumberFormat="1" applyFont="1" applyFill="1" applyBorder="1" applyAlignment="1" applyProtection="1">
      <alignment horizontal="center" vertical="center"/>
      <protection locked="0"/>
    </xf>
    <xf numFmtId="10" fontId="164" fillId="5" borderId="2" xfId="19" applyNumberFormat="1" applyFont="1" applyFill="1" applyBorder="1" applyAlignment="1" applyProtection="1">
      <alignment horizontal="center" vertical="center"/>
      <protection locked="0"/>
    </xf>
    <xf numFmtId="168" fontId="164" fillId="20" borderId="2" xfId="0" applyNumberFormat="1" applyFont="1" applyFill="1" applyBorder="1" applyAlignment="1" applyProtection="1">
      <alignment horizontal="center" vertical="center"/>
      <protection locked="0"/>
    </xf>
    <xf numFmtId="3" fontId="164" fillId="7" borderId="2" xfId="0" applyNumberFormat="1" applyFont="1" applyFill="1" applyBorder="1" applyAlignment="1" applyProtection="1">
      <alignment horizontal="center" vertical="center"/>
      <protection locked="0"/>
    </xf>
    <xf numFmtId="3" fontId="164" fillId="12" borderId="2" xfId="0" applyNumberFormat="1" applyFont="1" applyFill="1" applyBorder="1" applyAlignment="1" applyProtection="1">
      <alignment vertical="center"/>
      <protection locked="0"/>
    </xf>
    <xf numFmtId="168" fontId="164" fillId="7" borderId="2" xfId="0" applyNumberFormat="1" applyFont="1" applyFill="1" applyBorder="1" applyAlignment="1" applyProtection="1">
      <alignment horizontal="right" vertical="center"/>
      <protection locked="0"/>
    </xf>
    <xf numFmtId="2" fontId="139" fillId="5" borderId="2" xfId="19" applyNumberFormat="1" applyFont="1" applyFill="1" applyBorder="1" applyAlignment="1" applyProtection="1">
      <alignment horizontal="center" vertical="center"/>
      <protection locked="0"/>
    </xf>
    <xf numFmtId="2" fontId="164" fillId="5" borderId="2" xfId="19" applyNumberFormat="1" applyFont="1" applyFill="1" applyBorder="1" applyAlignment="1" applyProtection="1">
      <alignment horizontal="center" vertical="center"/>
      <protection locked="0"/>
    </xf>
    <xf numFmtId="2" fontId="13" fillId="0" borderId="2" xfId="19" applyNumberFormat="1" applyFont="1" applyBorder="1" applyAlignment="1" applyProtection="1">
      <alignment horizontal="center" vertical="center" wrapText="1"/>
    </xf>
    <xf numFmtId="164" fontId="10" fillId="13" borderId="0" xfId="4" applyFont="1" applyFill="1" applyBorder="1" applyAlignment="1">
      <alignment horizontal="center" vertical="center"/>
    </xf>
    <xf numFmtId="164" fontId="25" fillId="0" borderId="0" xfId="0" applyNumberFormat="1" applyFont="1" applyAlignment="1">
      <alignment horizontal="center"/>
    </xf>
    <xf numFmtId="170" fontId="0" fillId="0" borderId="0" xfId="0" applyAlignment="1"/>
    <xf numFmtId="170" fontId="94" fillId="0" borderId="0" xfId="0" applyFont="1" applyAlignment="1">
      <alignment horizontal="center"/>
    </xf>
    <xf numFmtId="170" fontId="95" fillId="0" borderId="0" xfId="0" applyFont="1" applyAlignment="1">
      <alignment horizontal="center"/>
    </xf>
    <xf numFmtId="170" fontId="25" fillId="25" borderId="126" xfId="0" applyFont="1" applyFill="1" applyBorder="1" applyAlignment="1">
      <alignment horizontal="center" vertical="center" textRotation="90"/>
    </xf>
    <xf numFmtId="0" fontId="139" fillId="28" borderId="225" xfId="0" applyNumberFormat="1" applyFont="1" applyFill="1" applyBorder="1" applyAlignment="1" applyProtection="1">
      <alignment horizontal="center" vertical="center" wrapText="1"/>
    </xf>
    <xf numFmtId="0" fontId="139" fillId="28" borderId="224" xfId="0" applyNumberFormat="1" applyFont="1" applyFill="1" applyBorder="1" applyAlignment="1" applyProtection="1">
      <alignment horizontal="center" vertical="center" wrapText="1"/>
    </xf>
    <xf numFmtId="0" fontId="139" fillId="28" borderId="87" xfId="0" applyNumberFormat="1" applyFont="1" applyFill="1" applyBorder="1" applyAlignment="1" applyProtection="1">
      <alignment horizontal="center" vertical="center" wrapText="1"/>
    </xf>
    <xf numFmtId="0" fontId="139" fillId="28" borderId="74" xfId="0" applyNumberFormat="1" applyFont="1" applyFill="1" applyBorder="1" applyAlignment="1" applyProtection="1">
      <alignment horizontal="center" vertical="center" wrapText="1"/>
    </xf>
    <xf numFmtId="170" fontId="139" fillId="26" borderId="2" xfId="0" applyNumberFormat="1" applyFont="1" applyFill="1" applyBorder="1" applyAlignment="1" applyProtection="1">
      <alignment horizontal="left" vertical="center" wrapText="1"/>
    </xf>
    <xf numFmtId="170" fontId="139" fillId="26" borderId="225" xfId="0" applyNumberFormat="1" applyFont="1" applyFill="1" applyBorder="1" applyAlignment="1" applyProtection="1">
      <alignment horizontal="center" vertical="center" wrapText="1"/>
    </xf>
    <xf numFmtId="170" fontId="139" fillId="26" borderId="224" xfId="0" applyNumberFormat="1" applyFont="1" applyFill="1" applyBorder="1" applyAlignment="1" applyProtection="1">
      <alignment horizontal="center" vertical="center" wrapText="1"/>
    </xf>
    <xf numFmtId="170" fontId="139" fillId="26" borderId="87" xfId="0" applyNumberFormat="1" applyFont="1" applyFill="1" applyBorder="1" applyAlignment="1" applyProtection="1">
      <alignment horizontal="center" vertical="center" wrapText="1"/>
    </xf>
    <xf numFmtId="170" fontId="139" fillId="26" borderId="74" xfId="0" applyNumberFormat="1" applyFont="1" applyFill="1" applyBorder="1" applyAlignment="1" applyProtection="1">
      <alignment horizontal="center" vertical="center" wrapText="1"/>
    </xf>
    <xf numFmtId="0" fontId="139" fillId="27" borderId="2" xfId="0" applyNumberFormat="1" applyFont="1" applyFill="1" applyBorder="1" applyAlignment="1" applyProtection="1">
      <alignment vertical="center" wrapText="1"/>
    </xf>
    <xf numFmtId="10" fontId="25" fillId="0" borderId="112" xfId="19" applyNumberFormat="1" applyFont="1" applyFill="1" applyBorder="1" applyAlignment="1" applyProtection="1">
      <alignment horizontal="center" vertical="center"/>
    </xf>
    <xf numFmtId="10" fontId="25" fillId="0" borderId="113" xfId="19" applyNumberFormat="1" applyFont="1" applyFill="1" applyBorder="1" applyAlignment="1" applyProtection="1">
      <alignment horizontal="center" vertical="center"/>
    </xf>
    <xf numFmtId="10" fontId="25" fillId="0" borderId="114" xfId="19" applyNumberFormat="1" applyFont="1" applyFill="1" applyBorder="1" applyAlignment="1" applyProtection="1">
      <alignment horizontal="center" vertical="center"/>
    </xf>
    <xf numFmtId="0" fontId="139" fillId="26" borderId="133" xfId="0" applyNumberFormat="1" applyFont="1" applyFill="1" applyBorder="1" applyAlignment="1" applyProtection="1">
      <alignment horizontal="center" vertical="center" wrapText="1"/>
    </xf>
    <xf numFmtId="0" fontId="139" fillId="26" borderId="77" xfId="0" applyNumberFormat="1" applyFont="1" applyFill="1" applyBorder="1" applyAlignment="1" applyProtection="1">
      <alignment horizontal="center" vertical="center" wrapText="1"/>
    </xf>
    <xf numFmtId="0" fontId="139" fillId="26" borderId="87" xfId="0" applyNumberFormat="1" applyFont="1" applyFill="1" applyBorder="1" applyAlignment="1" applyProtection="1">
      <alignment horizontal="center" vertical="center" wrapText="1"/>
    </xf>
    <xf numFmtId="0" fontId="139" fillId="26" borderId="74" xfId="0" applyNumberFormat="1" applyFont="1" applyFill="1" applyBorder="1" applyAlignment="1" applyProtection="1">
      <alignment horizontal="center" vertical="center" wrapText="1"/>
    </xf>
    <xf numFmtId="0" fontId="139" fillId="27" borderId="87" xfId="0" applyNumberFormat="1" applyFont="1" applyFill="1" applyBorder="1" applyAlignment="1" applyProtection="1">
      <alignment horizontal="center" vertical="center" wrapText="1"/>
    </xf>
    <xf numFmtId="0" fontId="139" fillId="27" borderId="74" xfId="0" applyNumberFormat="1" applyFont="1" applyFill="1" applyBorder="1" applyAlignment="1" applyProtection="1">
      <alignment horizontal="center" vertical="center" wrapText="1"/>
    </xf>
    <xf numFmtId="0" fontId="139" fillId="27" borderId="225" xfId="0" applyNumberFormat="1" applyFont="1" applyFill="1" applyBorder="1" applyAlignment="1" applyProtection="1">
      <alignment horizontal="center" vertical="center" wrapText="1"/>
    </xf>
    <xf numFmtId="0" fontId="139" fillId="27" borderId="224" xfId="0" applyNumberFormat="1" applyFont="1" applyFill="1" applyBorder="1" applyAlignment="1" applyProtection="1">
      <alignment horizontal="center" vertical="center" wrapText="1"/>
    </xf>
    <xf numFmtId="170" fontId="139" fillId="28" borderId="87" xfId="0" applyNumberFormat="1" applyFont="1" applyFill="1" applyBorder="1" applyAlignment="1" applyProtection="1">
      <alignment horizontal="center" vertical="center" wrapText="1"/>
    </xf>
    <xf numFmtId="170" fontId="139" fillId="28" borderId="228" xfId="0" applyNumberFormat="1" applyFont="1" applyFill="1" applyBorder="1" applyAlignment="1" applyProtection="1">
      <alignment horizontal="center" vertical="center" wrapText="1"/>
    </xf>
    <xf numFmtId="0" fontId="139" fillId="26" borderId="2" xfId="0" applyNumberFormat="1" applyFont="1" applyFill="1" applyBorder="1" applyAlignment="1" applyProtection="1">
      <alignment vertical="center" wrapText="1"/>
    </xf>
    <xf numFmtId="49" fontId="17" fillId="0" borderId="16" xfId="0" applyNumberFormat="1" applyFont="1" applyBorder="1" applyAlignment="1" applyProtection="1">
      <alignment horizontal="center"/>
    </xf>
    <xf numFmtId="49" fontId="17" fillId="0" borderId="31" xfId="0" applyNumberFormat="1" applyFont="1" applyBorder="1" applyAlignment="1" applyProtection="1">
      <alignment horizontal="center"/>
    </xf>
    <xf numFmtId="0" fontId="139" fillId="26" borderId="225" xfId="0" applyNumberFormat="1" applyFont="1" applyFill="1" applyBorder="1" applyAlignment="1" applyProtection="1">
      <alignment horizontal="center" vertical="center" wrapText="1"/>
    </xf>
    <xf numFmtId="0" fontId="139" fillId="26" borderId="224" xfId="0" applyNumberFormat="1" applyFont="1" applyFill="1" applyBorder="1" applyAlignment="1" applyProtection="1">
      <alignment horizontal="center" vertical="center" wrapText="1"/>
    </xf>
    <xf numFmtId="170" fontId="145" fillId="0" borderId="127" xfId="0" applyFont="1" applyBorder="1" applyAlignment="1" applyProtection="1">
      <alignment horizontal="center"/>
    </xf>
    <xf numFmtId="170" fontId="145" fillId="0" borderId="13" xfId="0" applyFont="1" applyBorder="1" applyAlignment="1" applyProtection="1">
      <alignment horizontal="center"/>
    </xf>
    <xf numFmtId="170" fontId="0" fillId="0" borderId="123" xfId="0" applyFill="1" applyBorder="1" applyAlignment="1" applyProtection="1">
      <alignment horizontal="center" vertical="center"/>
    </xf>
    <xf numFmtId="170" fontId="0" fillId="0" borderId="124" xfId="0" applyFill="1" applyBorder="1" applyAlignment="1" applyProtection="1">
      <alignment horizontal="center" vertical="center"/>
    </xf>
    <xf numFmtId="170" fontId="0" fillId="0" borderId="125" xfId="0" applyFill="1" applyBorder="1" applyAlignment="1" applyProtection="1">
      <alignment horizontal="center" vertical="center"/>
    </xf>
    <xf numFmtId="170" fontId="81" fillId="0" borderId="86" xfId="0" applyFont="1" applyBorder="1" applyAlignment="1" applyProtection="1">
      <alignment horizontal="right"/>
    </xf>
    <xf numFmtId="170" fontId="81" fillId="0" borderId="126" xfId="0" applyFont="1" applyBorder="1" applyAlignment="1" applyProtection="1">
      <alignment horizontal="right"/>
    </xf>
    <xf numFmtId="49" fontId="44" fillId="0" borderId="132" xfId="0" applyNumberFormat="1" applyFont="1" applyFill="1" applyBorder="1" applyAlignment="1" applyProtection="1">
      <alignment horizontal="justify" vertical="center" wrapText="1"/>
    </xf>
    <xf numFmtId="49" fontId="44" fillId="0" borderId="108" xfId="0" applyNumberFormat="1" applyFont="1" applyFill="1" applyBorder="1" applyAlignment="1" applyProtection="1">
      <alignment horizontal="justify" vertical="center" wrapText="1"/>
    </xf>
    <xf numFmtId="49" fontId="44" fillId="0" borderId="133" xfId="0" applyNumberFormat="1" applyFont="1" applyFill="1" applyBorder="1" applyAlignment="1" applyProtection="1">
      <alignment horizontal="justify" vertical="center" wrapText="1"/>
    </xf>
    <xf numFmtId="49" fontId="44" fillId="0" borderId="72" xfId="0" applyNumberFormat="1" applyFont="1" applyFill="1" applyBorder="1" applyAlignment="1" applyProtection="1">
      <alignment horizontal="justify" vertical="center" wrapText="1"/>
    </xf>
    <xf numFmtId="49" fontId="44" fillId="0" borderId="73" xfId="0" applyNumberFormat="1" applyFont="1" applyFill="1" applyBorder="1" applyAlignment="1" applyProtection="1">
      <alignment horizontal="justify" vertical="center" wrapText="1"/>
    </xf>
    <xf numFmtId="49" fontId="44" fillId="0" borderId="77" xfId="0" applyNumberFormat="1" applyFont="1" applyFill="1" applyBorder="1" applyAlignment="1" applyProtection="1">
      <alignment horizontal="justify" vertical="center" wrapText="1"/>
    </xf>
    <xf numFmtId="0" fontId="44" fillId="10" borderId="119" xfId="0" applyNumberFormat="1" applyFont="1" applyFill="1" applyBorder="1" applyAlignment="1" applyProtection="1">
      <alignment horizontal="center" vertical="center" wrapText="1"/>
    </xf>
    <xf numFmtId="170" fontId="44" fillId="10" borderId="132" xfId="0" applyFont="1" applyFill="1" applyBorder="1" applyAlignment="1" applyProtection="1">
      <alignment horizontal="justify" vertical="center" wrapText="1"/>
    </xf>
    <xf numFmtId="170" fontId="44" fillId="10" borderId="108" xfId="0" applyFont="1" applyFill="1" applyBorder="1" applyAlignment="1" applyProtection="1">
      <alignment horizontal="justify" vertical="center" wrapText="1"/>
    </xf>
    <xf numFmtId="170" fontId="44" fillId="10" borderId="133" xfId="0" applyFont="1" applyFill="1" applyBorder="1" applyAlignment="1" applyProtection="1">
      <alignment horizontal="justify" vertical="center" wrapText="1"/>
    </xf>
    <xf numFmtId="170" fontId="44" fillId="10" borderId="72" xfId="0" applyFont="1" applyFill="1" applyBorder="1" applyAlignment="1" applyProtection="1">
      <alignment horizontal="justify" vertical="center" wrapText="1"/>
    </xf>
    <xf numFmtId="170" fontId="44" fillId="10" borderId="73" xfId="0" applyFont="1" applyFill="1" applyBorder="1" applyAlignment="1" applyProtection="1">
      <alignment horizontal="justify" vertical="center" wrapText="1"/>
    </xf>
    <xf numFmtId="170" fontId="44" fillId="10" borderId="77" xfId="0" applyFont="1" applyFill="1" applyBorder="1" applyAlignment="1" applyProtection="1">
      <alignment horizontal="justify" vertical="center" wrapText="1"/>
    </xf>
    <xf numFmtId="170" fontId="139" fillId="26" borderId="2" xfId="0" applyNumberFormat="1" applyFont="1" applyFill="1" applyBorder="1" applyAlignment="1" applyProtection="1">
      <alignment vertical="center" wrapText="1"/>
    </xf>
    <xf numFmtId="0" fontId="139" fillId="27" borderId="2" xfId="0" applyNumberFormat="1" applyFont="1" applyFill="1" applyBorder="1" applyAlignment="1" applyProtection="1">
      <alignment horizontal="left" vertical="center" wrapText="1"/>
    </xf>
    <xf numFmtId="170" fontId="139" fillId="28" borderId="225" xfId="0" applyNumberFormat="1" applyFont="1" applyFill="1" applyBorder="1" applyAlignment="1" applyProtection="1">
      <alignment horizontal="center" vertical="center" wrapText="1"/>
    </xf>
    <xf numFmtId="170" fontId="139" fillId="28" borderId="226" xfId="0" applyNumberFormat="1" applyFont="1" applyFill="1" applyBorder="1" applyAlignment="1" applyProtection="1">
      <alignment horizontal="center" vertical="center" wrapText="1"/>
    </xf>
    <xf numFmtId="170" fontId="102" fillId="0" borderId="108" xfId="0" applyFont="1" applyFill="1" applyBorder="1" applyAlignment="1" applyProtection="1">
      <alignment horizontal="justify" vertical="center" wrapText="1"/>
    </xf>
    <xf numFmtId="170" fontId="102" fillId="0" borderId="133" xfId="0" applyFont="1" applyFill="1" applyBorder="1" applyAlignment="1" applyProtection="1">
      <alignment horizontal="justify" vertical="center" wrapText="1"/>
    </xf>
    <xf numFmtId="170" fontId="102" fillId="0" borderId="72" xfId="0" applyFont="1" applyFill="1" applyBorder="1" applyAlignment="1" applyProtection="1">
      <alignment horizontal="justify" vertical="center" wrapText="1"/>
    </xf>
    <xf numFmtId="170" fontId="102" fillId="0" borderId="73" xfId="0" applyFont="1" applyFill="1" applyBorder="1" applyAlignment="1" applyProtection="1">
      <alignment horizontal="justify" vertical="center" wrapText="1"/>
    </xf>
    <xf numFmtId="170" fontId="102" fillId="0" borderId="77" xfId="0" applyFont="1" applyFill="1" applyBorder="1" applyAlignment="1" applyProtection="1">
      <alignment horizontal="justify" vertical="center" wrapText="1"/>
    </xf>
    <xf numFmtId="170" fontId="44" fillId="0" borderId="115" xfId="0" applyFont="1" applyFill="1" applyBorder="1" applyAlignment="1" applyProtection="1">
      <alignment horizontal="center" vertical="center" wrapText="1"/>
    </xf>
    <xf numFmtId="170" fontId="44" fillId="0" borderId="219" xfId="0" applyFont="1" applyFill="1" applyBorder="1" applyAlignment="1" applyProtection="1">
      <alignment horizontal="center" vertical="center" wrapText="1"/>
    </xf>
    <xf numFmtId="0" fontId="44" fillId="0" borderId="87" xfId="0" applyNumberFormat="1" applyFont="1" applyFill="1" applyBorder="1" applyAlignment="1" applyProtection="1">
      <alignment horizontal="center" vertical="center" wrapText="1"/>
    </xf>
    <xf numFmtId="0" fontId="44" fillId="0" borderId="220" xfId="0" applyNumberFormat="1" applyFont="1" applyFill="1" applyBorder="1" applyAlignment="1" applyProtection="1">
      <alignment horizontal="center" vertical="center" wrapText="1"/>
    </xf>
    <xf numFmtId="170" fontId="139" fillId="26" borderId="227" xfId="0" applyNumberFormat="1" applyFont="1" applyFill="1" applyBorder="1" applyAlignment="1" applyProtection="1">
      <alignment horizontal="center" vertical="center" wrapText="1"/>
    </xf>
    <xf numFmtId="170" fontId="139" fillId="26" borderId="223" xfId="0" applyNumberFormat="1" applyFont="1" applyFill="1" applyBorder="1" applyAlignment="1" applyProtection="1">
      <alignment horizontal="center" vertical="center" wrapText="1"/>
    </xf>
    <xf numFmtId="170" fontId="44" fillId="10" borderId="29" xfId="0" applyFont="1" applyFill="1" applyBorder="1" applyAlignment="1" applyProtection="1">
      <alignment horizontal="center" vertical="center" wrapText="1"/>
    </xf>
    <xf numFmtId="170" fontId="44" fillId="0" borderId="29" xfId="0" applyFont="1" applyFill="1" applyBorder="1" applyAlignment="1" applyProtection="1">
      <alignment horizontal="center" vertical="center" wrapText="1"/>
    </xf>
    <xf numFmtId="0" fontId="44" fillId="0" borderId="119" xfId="0" applyNumberFormat="1" applyFont="1" applyFill="1" applyBorder="1" applyAlignment="1" applyProtection="1">
      <alignment horizontal="center" vertical="center" wrapText="1"/>
    </xf>
    <xf numFmtId="170" fontId="55" fillId="0" borderId="128" xfId="0" applyFont="1" applyBorder="1" applyAlignment="1" applyProtection="1">
      <alignment horizontal="right"/>
    </xf>
    <xf numFmtId="170" fontId="88" fillId="0" borderId="128" xfId="0" applyFont="1" applyBorder="1" applyAlignment="1" applyProtection="1"/>
    <xf numFmtId="170" fontId="81" fillId="0" borderId="0" xfId="0" applyFont="1" applyAlignment="1" applyProtection="1">
      <alignment horizontal="right"/>
    </xf>
    <xf numFmtId="164" fontId="17" fillId="0" borderId="129" xfId="0" applyNumberFormat="1" applyFont="1" applyBorder="1" applyAlignment="1" applyProtection="1">
      <alignment horizontal="center"/>
    </xf>
    <xf numFmtId="170" fontId="17" fillId="0" borderId="130" xfId="0" applyFont="1" applyBorder="1" applyAlignment="1" applyProtection="1">
      <alignment horizontal="center"/>
    </xf>
    <xf numFmtId="170" fontId="17" fillId="0" borderId="131" xfId="0" applyFont="1" applyBorder="1" applyAlignment="1" applyProtection="1">
      <alignment horizontal="center"/>
    </xf>
    <xf numFmtId="170" fontId="141" fillId="0" borderId="134" xfId="0" applyFont="1" applyBorder="1" applyAlignment="1" applyProtection="1">
      <alignment horizontal="center" wrapText="1"/>
    </xf>
    <xf numFmtId="170" fontId="141" fillId="0" borderId="135" xfId="0" applyFont="1" applyBorder="1" applyAlignment="1" applyProtection="1">
      <alignment horizontal="center" wrapText="1"/>
    </xf>
    <xf numFmtId="170" fontId="141" fillId="0" borderId="136" xfId="0" applyFont="1" applyBorder="1" applyAlignment="1" applyProtection="1">
      <alignment horizontal="center" wrapText="1"/>
    </xf>
    <xf numFmtId="170" fontId="0" fillId="5" borderId="27" xfId="0" applyFill="1" applyBorder="1" applyAlignment="1" applyProtection="1">
      <alignment horizontal="center"/>
    </xf>
    <xf numFmtId="170" fontId="0" fillId="5" borderId="29" xfId="0" applyFill="1" applyBorder="1" applyAlignment="1" applyProtection="1">
      <alignment horizontal="center"/>
    </xf>
    <xf numFmtId="170" fontId="81" fillId="0" borderId="0" xfId="0" applyFont="1" applyBorder="1" applyAlignment="1" applyProtection="1">
      <alignment horizontal="right"/>
    </xf>
    <xf numFmtId="49" fontId="0" fillId="0" borderId="2" xfId="0" applyNumberFormat="1" applyBorder="1" applyAlignment="1" applyProtection="1">
      <alignment horizontal="center"/>
    </xf>
    <xf numFmtId="164" fontId="41" fillId="14" borderId="0" xfId="4" applyFont="1" applyFill="1" applyAlignment="1" applyProtection="1">
      <alignment horizontal="center" vertical="center"/>
    </xf>
    <xf numFmtId="49" fontId="0" fillId="0" borderId="27" xfId="0" applyNumberFormat="1" applyBorder="1" applyAlignment="1" applyProtection="1">
      <alignment horizontal="center"/>
    </xf>
    <xf numFmtId="49" fontId="0" fillId="0" borderId="29" xfId="0" applyNumberFormat="1" applyBorder="1" applyAlignment="1" applyProtection="1">
      <alignment horizontal="center"/>
    </xf>
    <xf numFmtId="49" fontId="0" fillId="0" borderId="27" xfId="0" applyNumberFormat="1" applyBorder="1" applyAlignment="1" applyProtection="1">
      <alignment horizontal="justify" wrapText="1"/>
    </xf>
    <xf numFmtId="49" fontId="0" fillId="0" borderId="28" xfId="0" applyNumberFormat="1" applyBorder="1" applyAlignment="1" applyProtection="1">
      <alignment horizontal="justify" wrapText="1"/>
    </xf>
    <xf numFmtId="49" fontId="0" fillId="0" borderId="29" xfId="0" applyNumberFormat="1" applyBorder="1" applyAlignment="1" applyProtection="1">
      <alignment horizontal="justify" wrapText="1"/>
    </xf>
    <xf numFmtId="170" fontId="107" fillId="0" borderId="86" xfId="0" applyFont="1" applyFill="1" applyBorder="1" applyAlignment="1" applyProtection="1">
      <alignment horizontal="right" wrapText="1"/>
    </xf>
    <xf numFmtId="170" fontId="107" fillId="0" borderId="126" xfId="0" applyFont="1" applyFill="1" applyBorder="1" applyAlignment="1" applyProtection="1">
      <alignment horizontal="right" wrapText="1"/>
    </xf>
    <xf numFmtId="171" fontId="92" fillId="0" borderId="2" xfId="20" applyNumberFormat="1" applyFont="1" applyFill="1" applyBorder="1" applyAlignment="1" applyProtection="1">
      <alignment horizontal="center"/>
    </xf>
    <xf numFmtId="171" fontId="100" fillId="0" borderId="2" xfId="20" applyNumberFormat="1" applyFill="1" applyBorder="1" applyAlignment="1" applyProtection="1">
      <alignment horizontal="center"/>
    </xf>
    <xf numFmtId="172" fontId="102" fillId="0" borderId="27" xfId="0" applyNumberFormat="1" applyFont="1" applyFill="1" applyBorder="1" applyAlignment="1" applyProtection="1">
      <alignment horizontal="center"/>
    </xf>
    <xf numFmtId="172" fontId="102" fillId="0" borderId="29" xfId="0" applyNumberFormat="1" applyFont="1" applyFill="1" applyBorder="1" applyAlignment="1" applyProtection="1">
      <alignment horizontal="center"/>
    </xf>
    <xf numFmtId="49" fontId="104" fillId="0" borderId="2" xfId="0" applyNumberFormat="1" applyFont="1" applyBorder="1" applyAlignment="1" applyProtection="1">
      <alignment horizontal="center"/>
    </xf>
    <xf numFmtId="49" fontId="0" fillId="0" borderId="28" xfId="0" applyNumberFormat="1" applyBorder="1" applyAlignment="1" applyProtection="1">
      <alignment horizontal="center"/>
    </xf>
    <xf numFmtId="164" fontId="8" fillId="16" borderId="2" xfId="20" applyFont="1" applyFill="1" applyBorder="1" applyAlignment="1" applyProtection="1">
      <alignment horizontal="center"/>
    </xf>
    <xf numFmtId="49" fontId="17" fillId="0" borderId="15" xfId="0" applyNumberFormat="1" applyFont="1" applyBorder="1" applyAlignment="1" applyProtection="1">
      <alignment horizontal="center"/>
    </xf>
    <xf numFmtId="49" fontId="17" fillId="0" borderId="2" xfId="0" applyNumberFormat="1" applyFont="1" applyBorder="1" applyAlignment="1" applyProtection="1">
      <alignment horizontal="center"/>
    </xf>
    <xf numFmtId="170" fontId="138" fillId="0" borderId="120" xfId="0" applyFont="1" applyFill="1" applyBorder="1" applyAlignment="1" applyProtection="1">
      <alignment horizontal="center" vertical="center"/>
    </xf>
    <xf numFmtId="170" fontId="138" fillId="0" borderId="121" xfId="0" applyFont="1" applyFill="1" applyBorder="1" applyAlignment="1" applyProtection="1">
      <alignment horizontal="center" vertical="center"/>
    </xf>
    <xf numFmtId="170" fontId="138" fillId="0" borderId="122" xfId="0" applyFont="1" applyFill="1" applyBorder="1" applyAlignment="1" applyProtection="1">
      <alignment horizontal="center" vertical="center"/>
    </xf>
    <xf numFmtId="164" fontId="17" fillId="6" borderId="25" xfId="20" applyFont="1" applyFill="1" applyBorder="1" applyAlignment="1" applyProtection="1">
      <alignment horizontal="center"/>
    </xf>
    <xf numFmtId="164" fontId="1" fillId="0" borderId="25" xfId="20" applyFont="1" applyFill="1" applyBorder="1" applyAlignment="1" applyProtection="1">
      <alignment horizontal="right"/>
    </xf>
    <xf numFmtId="164" fontId="83"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applyAlignment="1" applyProtection="1"/>
    <xf numFmtId="164" fontId="105" fillId="14" borderId="0" xfId="4" applyFont="1" applyFill="1" applyAlignment="1" applyProtection="1">
      <alignment horizontal="center" vertical="center"/>
    </xf>
    <xf numFmtId="164" fontId="25" fillId="6" borderId="0" xfId="15" applyFont="1" applyFill="1" applyAlignment="1" applyProtection="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41" fillId="14" borderId="0" xfId="13" applyFont="1" applyFill="1" applyAlignment="1" applyProtection="1">
      <alignment horizontal="center" vertical="center"/>
    </xf>
    <xf numFmtId="164" fontId="8" fillId="13" borderId="0" xfId="20" applyFont="1" applyFill="1" applyBorder="1" applyAlignment="1" applyProtection="1">
      <alignment horizontal="center"/>
    </xf>
    <xf numFmtId="170" fontId="78" fillId="0" borderId="0" xfId="0" applyFont="1" applyAlignment="1" applyProtection="1">
      <alignment horizontal="center"/>
    </xf>
    <xf numFmtId="164" fontId="7" fillId="0" borderId="0" xfId="0" applyNumberFormat="1" applyFont="1" applyAlignment="1" applyProtection="1">
      <alignment horizontal="center"/>
    </xf>
    <xf numFmtId="164" fontId="20" fillId="0" borderId="0" xfId="0" applyNumberFormat="1" applyFont="1" applyAlignment="1" applyProtection="1">
      <alignment horizontal="right"/>
    </xf>
    <xf numFmtId="164" fontId="20" fillId="0" borderId="0" xfId="0" applyNumberFormat="1" applyFont="1" applyAlignment="1" applyProtection="1">
      <alignment horizontal="left"/>
    </xf>
    <xf numFmtId="15" fontId="20" fillId="0" borderId="0" xfId="0" applyNumberFormat="1" applyFont="1" applyAlignment="1" applyProtection="1">
      <alignment horizontal="right"/>
    </xf>
    <xf numFmtId="164" fontId="27" fillId="0" borderId="0" xfId="0" applyNumberFormat="1" applyFont="1" applyAlignment="1" applyProtection="1">
      <alignment wrapText="1"/>
    </xf>
    <xf numFmtId="170" fontId="0" fillId="0" borderId="0" xfId="0" applyAlignment="1" applyProtection="1">
      <alignment wrapText="1"/>
    </xf>
    <xf numFmtId="170" fontId="22" fillId="5" borderId="27" xfId="0" applyFont="1" applyFill="1" applyBorder="1" applyAlignment="1" applyProtection="1">
      <alignment horizontal="justify" vertical="center" wrapText="1"/>
      <protection locked="0"/>
    </xf>
    <xf numFmtId="170" fontId="102" fillId="0" borderId="28" xfId="0" applyFont="1" applyBorder="1" applyAlignment="1" applyProtection="1">
      <alignment horizontal="justify" vertical="center" wrapText="1"/>
      <protection locked="0"/>
    </xf>
    <xf numFmtId="170" fontId="102" fillId="0" borderId="29" xfId="0" applyFont="1" applyBorder="1" applyAlignment="1" applyProtection="1">
      <alignment horizontal="justify" vertical="center" wrapText="1"/>
      <protection locked="0"/>
    </xf>
    <xf numFmtId="164" fontId="7" fillId="0" borderId="0" xfId="0" applyNumberFormat="1" applyFont="1" applyAlignment="1" applyProtection="1">
      <alignment horizontal="center" wrapText="1"/>
    </xf>
    <xf numFmtId="170" fontId="0" fillId="0" borderId="0" xfId="0" applyBorder="1" applyAlignment="1" applyProtection="1">
      <alignment horizontal="center"/>
    </xf>
    <xf numFmtId="170" fontId="22" fillId="5" borderId="28" xfId="0" applyFont="1" applyFill="1" applyBorder="1" applyAlignment="1" applyProtection="1">
      <alignment horizontal="justify" vertical="center" wrapText="1"/>
      <protection locked="0"/>
    </xf>
    <xf numFmtId="170" fontId="22" fillId="5" borderId="29" xfId="0" applyFont="1" applyFill="1" applyBorder="1" applyAlignment="1" applyProtection="1">
      <alignment horizontal="justify" vertical="center" wrapText="1"/>
      <protection locked="0"/>
    </xf>
    <xf numFmtId="170" fontId="7" fillId="0" borderId="0" xfId="0" applyFont="1" applyBorder="1" applyAlignment="1" applyProtection="1">
      <alignment horizontal="center"/>
    </xf>
    <xf numFmtId="164" fontId="27" fillId="0" borderId="0" xfId="0" applyNumberFormat="1" applyFont="1" applyFill="1" applyAlignment="1" applyProtection="1">
      <alignment wrapText="1"/>
    </xf>
    <xf numFmtId="170" fontId="0" fillId="0" borderId="0" xfId="0" applyFill="1" applyAlignment="1" applyProtection="1">
      <alignment wrapText="1"/>
    </xf>
    <xf numFmtId="170" fontId="56" fillId="0" borderId="0" xfId="0" applyFont="1" applyAlignment="1" applyProtection="1">
      <alignment horizontal="left" wrapText="1"/>
    </xf>
    <xf numFmtId="170" fontId="165" fillId="5" borderId="28" xfId="0" applyFont="1" applyFill="1" applyBorder="1" applyAlignment="1" applyProtection="1">
      <alignment horizontal="justify" vertical="center" wrapText="1"/>
      <protection locked="0"/>
    </xf>
    <xf numFmtId="170" fontId="165" fillId="5" borderId="29" xfId="0" applyFont="1" applyFill="1" applyBorder="1" applyAlignment="1" applyProtection="1">
      <alignment horizontal="justify" vertical="center" wrapText="1"/>
      <protection locked="0"/>
    </xf>
    <xf numFmtId="170" fontId="135" fillId="0" borderId="123" xfId="0" applyFont="1" applyFill="1" applyBorder="1" applyAlignment="1" applyProtection="1">
      <alignment horizontal="center" vertical="center"/>
    </xf>
    <xf numFmtId="170" fontId="135" fillId="0" borderId="124" xfId="0" applyFont="1" applyFill="1" applyBorder="1" applyAlignment="1" applyProtection="1">
      <alignment horizontal="center" vertical="center"/>
    </xf>
    <xf numFmtId="170" fontId="135" fillId="0" borderId="125" xfId="0" applyFont="1" applyFill="1" applyBorder="1" applyAlignment="1" applyProtection="1">
      <alignment horizontal="center" vertical="center"/>
    </xf>
    <xf numFmtId="164" fontId="106" fillId="14" borderId="0" xfId="4" applyFont="1" applyFill="1" applyAlignment="1" applyProtection="1">
      <alignment horizontal="center" vertical="center"/>
    </xf>
    <xf numFmtId="170" fontId="0" fillId="0" borderId="137" xfId="0" applyBorder="1" applyAlignment="1" applyProtection="1">
      <alignment horizontal="center"/>
    </xf>
    <xf numFmtId="170" fontId="0" fillId="0" borderId="42" xfId="0" applyBorder="1" applyAlignment="1" applyProtection="1">
      <alignment horizontal="center"/>
    </xf>
    <xf numFmtId="170" fontId="84" fillId="0" borderId="138" xfId="0" applyFont="1" applyFill="1" applyBorder="1" applyAlignment="1" applyProtection="1">
      <alignment horizontal="left" wrapText="1"/>
    </xf>
    <xf numFmtId="170" fontId="84" fillId="0" borderId="139" xfId="0" applyFont="1" applyFill="1" applyBorder="1" applyAlignment="1" applyProtection="1">
      <alignment horizontal="left" wrapText="1"/>
    </xf>
    <xf numFmtId="164" fontId="29" fillId="0" borderId="0" xfId="0" applyNumberFormat="1" applyFont="1" applyAlignment="1" applyProtection="1">
      <alignment wrapText="1"/>
    </xf>
    <xf numFmtId="170" fontId="0" fillId="0" borderId="0" xfId="0" applyAlignment="1" applyProtection="1"/>
    <xf numFmtId="170" fontId="84" fillId="0" borderId="140" xfId="0" applyFont="1" applyFill="1" applyBorder="1" applyAlignment="1" applyProtection="1">
      <alignment horizontal="left" wrapText="1"/>
    </xf>
    <xf numFmtId="170" fontId="84" fillId="0" borderId="68" xfId="0" applyFont="1" applyFill="1" applyBorder="1" applyAlignment="1" applyProtection="1">
      <alignment horizontal="left" wrapText="1"/>
    </xf>
    <xf numFmtId="164" fontId="29" fillId="0" borderId="0" xfId="0" applyNumberFormat="1" applyFont="1" applyBorder="1" applyAlignment="1" applyProtection="1">
      <alignment wrapText="1"/>
    </xf>
    <xf numFmtId="170" fontId="119" fillId="5" borderId="27" xfId="0" applyFont="1" applyFill="1" applyBorder="1" applyAlignment="1" applyProtection="1">
      <alignment horizontal="justify" vertical="center" wrapText="1"/>
      <protection locked="0"/>
    </xf>
    <xf numFmtId="170" fontId="119" fillId="5" borderId="28" xfId="0" applyFont="1" applyFill="1" applyBorder="1" applyAlignment="1" applyProtection="1">
      <alignment horizontal="justify" vertical="center" wrapText="1"/>
      <protection locked="0"/>
    </xf>
    <xf numFmtId="170" fontId="119" fillId="5" borderId="29" xfId="0" applyFont="1" applyFill="1" applyBorder="1" applyAlignment="1" applyProtection="1">
      <alignment horizontal="justify" vertical="center" wrapText="1"/>
      <protection locked="0"/>
    </xf>
    <xf numFmtId="164" fontId="77" fillId="0" borderId="116" xfId="0" applyNumberFormat="1" applyFont="1" applyBorder="1" applyAlignment="1" applyProtection="1">
      <alignment horizontal="center" vertical="center" wrapText="1"/>
    </xf>
    <xf numFmtId="164" fontId="77" fillId="0" borderId="117" xfId="0" applyNumberFormat="1" applyFont="1" applyBorder="1" applyAlignment="1" applyProtection="1">
      <alignment horizontal="center" vertical="center" wrapText="1"/>
    </xf>
    <xf numFmtId="164" fontId="77" fillId="0" borderId="118" xfId="0" applyNumberFormat="1" applyFont="1" applyBorder="1" applyAlignment="1" applyProtection="1">
      <alignment horizontal="center" vertical="center" wrapText="1"/>
    </xf>
    <xf numFmtId="170" fontId="118" fillId="0" borderId="28" xfId="0" applyFont="1" applyBorder="1" applyAlignment="1" applyProtection="1">
      <alignment horizontal="justify" vertical="center" wrapText="1"/>
      <protection locked="0"/>
    </xf>
    <xf numFmtId="170" fontId="118" fillId="0" borderId="29" xfId="0" applyFont="1" applyBorder="1" applyAlignment="1" applyProtection="1">
      <alignment horizontal="justify" vertical="center" wrapText="1"/>
      <protection locked="0"/>
    </xf>
    <xf numFmtId="170" fontId="167" fillId="0" borderId="28" xfId="0" applyFont="1" applyBorder="1" applyAlignment="1" applyProtection="1">
      <alignment horizontal="justify" vertical="center" wrapText="1"/>
      <protection locked="0"/>
    </xf>
    <xf numFmtId="170" fontId="167" fillId="0" borderId="29" xfId="0" applyFont="1" applyBorder="1" applyAlignment="1" applyProtection="1">
      <alignment horizontal="justify" vertical="center" wrapText="1"/>
      <protection locked="0"/>
    </xf>
    <xf numFmtId="170" fontId="146" fillId="0" borderId="2" xfId="0" applyFont="1" applyBorder="1" applyAlignment="1" applyProtection="1">
      <alignment horizontal="justify" vertical="center" wrapText="1"/>
    </xf>
    <xf numFmtId="176" fontId="13" fillId="0" borderId="27" xfId="19" applyNumberFormat="1" applyFont="1" applyBorder="1" applyAlignment="1" applyProtection="1">
      <alignment horizontal="center" vertical="center" wrapText="1"/>
    </xf>
    <xf numFmtId="176" fontId="13" fillId="0" borderId="28" xfId="19" applyNumberFormat="1" applyFont="1" applyBorder="1" applyAlignment="1" applyProtection="1">
      <alignment horizontal="center" vertical="center" wrapText="1"/>
    </xf>
    <xf numFmtId="176" fontId="13" fillId="0" borderId="29" xfId="19" applyNumberFormat="1" applyFont="1" applyBorder="1" applyAlignment="1" applyProtection="1">
      <alignment horizontal="center" vertical="center" wrapText="1"/>
    </xf>
    <xf numFmtId="9" fontId="146" fillId="5" borderId="2" xfId="19" applyFont="1" applyFill="1" applyBorder="1" applyAlignment="1" applyProtection="1">
      <alignment horizontal="justify" vertical="center" wrapText="1"/>
      <protection locked="0"/>
    </xf>
    <xf numFmtId="9" fontId="157" fillId="5" borderId="2" xfId="19" applyFont="1" applyFill="1" applyBorder="1" applyAlignment="1" applyProtection="1">
      <alignment horizontal="justify" vertical="center" wrapText="1"/>
      <protection locked="0"/>
    </xf>
    <xf numFmtId="170" fontId="146" fillId="5" borderId="27" xfId="19" applyNumberFormat="1" applyFont="1" applyFill="1" applyBorder="1" applyAlignment="1" applyProtection="1">
      <alignment horizontal="justify" vertical="center" wrapText="1"/>
      <protection locked="0"/>
    </xf>
    <xf numFmtId="170" fontId="157" fillId="5" borderId="28" xfId="19" applyNumberFormat="1" applyFont="1" applyFill="1" applyBorder="1" applyAlignment="1" applyProtection="1">
      <alignment horizontal="justify" vertical="center" wrapText="1"/>
      <protection locked="0"/>
    </xf>
    <xf numFmtId="170" fontId="157" fillId="5" borderId="29" xfId="19" applyNumberFormat="1" applyFont="1" applyFill="1" applyBorder="1" applyAlignment="1" applyProtection="1">
      <alignment horizontal="justify" vertical="center" wrapText="1"/>
      <protection locked="0"/>
    </xf>
    <xf numFmtId="170" fontId="26" fillId="0" borderId="27" xfId="0" applyFont="1" applyBorder="1" applyAlignment="1" applyProtection="1">
      <alignment horizontal="center" vertical="center"/>
    </xf>
    <xf numFmtId="170" fontId="26" fillId="0" borderId="28" xfId="0" applyFont="1" applyBorder="1" applyAlignment="1" applyProtection="1">
      <alignment horizontal="center" vertical="center"/>
    </xf>
    <xf numFmtId="170" fontId="26" fillId="0" borderId="29" xfId="0" applyFont="1" applyBorder="1" applyAlignment="1" applyProtection="1">
      <alignment horizontal="center" vertical="center"/>
    </xf>
    <xf numFmtId="9" fontId="29" fillId="15" borderId="27" xfId="19" applyFont="1" applyFill="1" applyBorder="1" applyAlignment="1" applyProtection="1">
      <alignment horizontal="center" vertical="center" wrapText="1"/>
    </xf>
    <xf numFmtId="9" fontId="29" fillId="15" borderId="29" xfId="19" applyFont="1" applyFill="1" applyBorder="1" applyAlignment="1" applyProtection="1">
      <alignment horizontal="center" vertical="center" wrapText="1"/>
    </xf>
    <xf numFmtId="9" fontId="29" fillId="17" borderId="27" xfId="19" applyFont="1" applyFill="1" applyBorder="1" applyAlignment="1" applyProtection="1">
      <alignment horizontal="center" vertical="center" wrapText="1"/>
    </xf>
    <xf numFmtId="9" fontId="29" fillId="17" borderId="29" xfId="19" applyFont="1" applyFill="1" applyBorder="1" applyAlignment="1" applyProtection="1">
      <alignment horizontal="center" vertical="center" wrapText="1"/>
    </xf>
    <xf numFmtId="9" fontId="146" fillId="5" borderId="28" xfId="19" applyFont="1" applyFill="1" applyBorder="1" applyAlignment="1" applyProtection="1">
      <alignment horizontal="justify" vertical="center" wrapText="1"/>
      <protection locked="0"/>
    </xf>
    <xf numFmtId="9" fontId="146" fillId="5" borderId="29" xfId="19" applyFont="1" applyFill="1" applyBorder="1" applyAlignment="1" applyProtection="1">
      <alignment horizontal="justify" vertical="center" wrapText="1"/>
      <protection locked="0"/>
    </xf>
    <xf numFmtId="170" fontId="146" fillId="5" borderId="28" xfId="19" applyNumberFormat="1" applyFont="1" applyFill="1" applyBorder="1" applyAlignment="1" applyProtection="1">
      <alignment horizontal="justify" vertical="center" wrapText="1"/>
      <protection locked="0"/>
    </xf>
    <xf numFmtId="170" fontId="146" fillId="5" borderId="29" xfId="19" applyNumberFormat="1" applyFont="1" applyFill="1" applyBorder="1" applyAlignment="1" applyProtection="1">
      <alignment horizontal="justify" vertical="center" wrapText="1"/>
      <protection locked="0"/>
    </xf>
    <xf numFmtId="170" fontId="76" fillId="5" borderId="27" xfId="0" applyFont="1" applyFill="1" applyBorder="1" applyAlignment="1" applyProtection="1">
      <alignment horizontal="justify" vertical="top" wrapText="1"/>
      <protection locked="0"/>
    </xf>
    <xf numFmtId="170" fontId="76" fillId="5" borderId="28" xfId="0" applyFont="1" applyFill="1" applyBorder="1" applyAlignment="1" applyProtection="1">
      <alignment horizontal="justify" vertical="top" wrapText="1"/>
      <protection locked="0"/>
    </xf>
    <xf numFmtId="170" fontId="76" fillId="5" borderId="29" xfId="0" applyFont="1" applyFill="1" applyBorder="1" applyAlignment="1" applyProtection="1">
      <alignment horizontal="justify" vertical="top" wrapText="1"/>
      <protection locked="0"/>
    </xf>
    <xf numFmtId="164" fontId="20" fillId="0" borderId="0" xfId="0" applyNumberFormat="1" applyFont="1" applyAlignment="1" applyProtection="1">
      <alignment horizontal="right" wrapText="1"/>
    </xf>
    <xf numFmtId="174" fontId="79" fillId="0" borderId="28" xfId="0" applyNumberFormat="1" applyFont="1" applyBorder="1" applyAlignment="1" applyProtection="1">
      <alignment horizontal="justify" vertical="center" wrapText="1"/>
    </xf>
    <xf numFmtId="170" fontId="79" fillId="0" borderId="28" xfId="0" applyFont="1" applyBorder="1" applyAlignment="1" applyProtection="1">
      <alignment horizontal="justify" vertical="center" wrapText="1"/>
    </xf>
    <xf numFmtId="170" fontId="159" fillId="0" borderId="28" xfId="0" applyFont="1" applyBorder="1" applyAlignment="1" applyProtection="1">
      <alignment horizontal="justify" vertical="top" wrapText="1"/>
      <protection locked="0"/>
    </xf>
    <xf numFmtId="170" fontId="159" fillId="0" borderId="29" xfId="0" applyFont="1" applyBorder="1" applyAlignment="1" applyProtection="1">
      <alignment horizontal="justify" vertical="top" wrapText="1"/>
      <protection locked="0"/>
    </xf>
    <xf numFmtId="170" fontId="25" fillId="0" borderId="73" xfId="0" applyFont="1" applyBorder="1" applyAlignment="1" applyProtection="1">
      <alignment horizontal="center"/>
    </xf>
    <xf numFmtId="170" fontId="26" fillId="0" borderId="2" xfId="0" applyFont="1" applyBorder="1" applyAlignment="1" applyProtection="1">
      <alignment horizontal="center" vertical="center" wrapText="1"/>
    </xf>
    <xf numFmtId="170" fontId="154" fillId="5" borderId="27" xfId="19" applyNumberFormat="1" applyFont="1" applyFill="1" applyBorder="1" applyAlignment="1" applyProtection="1">
      <alignment horizontal="justify" vertical="center" wrapText="1"/>
      <protection locked="0"/>
    </xf>
    <xf numFmtId="170" fontId="137" fillId="0" borderId="28" xfId="0" applyFont="1" applyBorder="1" applyAlignment="1" applyProtection="1">
      <alignment horizontal="justify" vertical="center" wrapText="1"/>
    </xf>
    <xf numFmtId="174" fontId="137" fillId="0" borderId="28" xfId="0" applyNumberFormat="1" applyFont="1" applyBorder="1" applyAlignment="1" applyProtection="1">
      <alignment horizontal="justify" vertical="center" wrapText="1"/>
    </xf>
    <xf numFmtId="164" fontId="78" fillId="0" borderId="0" xfId="0" applyNumberFormat="1" applyFont="1" applyAlignment="1" applyProtection="1">
      <alignment horizontal="center"/>
    </xf>
    <xf numFmtId="164" fontId="25" fillId="0" borderId="0" xfId="0" applyNumberFormat="1" applyFont="1" applyAlignment="1" applyProtection="1">
      <alignment horizontal="center"/>
    </xf>
    <xf numFmtId="164" fontId="8" fillId="13" borderId="0" xfId="21" applyFont="1" applyFill="1" applyBorder="1" applyAlignment="1" applyProtection="1">
      <alignment horizontal="center"/>
    </xf>
    <xf numFmtId="170" fontId="111" fillId="0" borderId="159" xfId="0" applyFont="1" applyFill="1" applyBorder="1" applyAlignment="1" applyProtection="1">
      <alignment horizontal="center"/>
    </xf>
    <xf numFmtId="170" fontId="111" fillId="0" borderId="160" xfId="0" applyFont="1" applyFill="1" applyBorder="1" applyAlignment="1" applyProtection="1">
      <alignment horizontal="center"/>
    </xf>
    <xf numFmtId="170" fontId="51" fillId="0" borderId="0" xfId="0" applyFont="1" applyFill="1" applyBorder="1" applyAlignment="1" applyProtection="1">
      <alignment horizontal="center"/>
    </xf>
    <xf numFmtId="170" fontId="51" fillId="0" borderId="159" xfId="0" applyFont="1" applyFill="1" applyBorder="1" applyAlignment="1" applyProtection="1">
      <alignment horizontal="center"/>
    </xf>
    <xf numFmtId="170" fontId="40" fillId="9" borderId="147" xfId="0" applyFont="1" applyFill="1" applyBorder="1" applyAlignment="1" applyProtection="1">
      <alignment horizontal="center" vertical="center"/>
    </xf>
    <xf numFmtId="170" fontId="40" fillId="9" borderId="148" xfId="0" applyFont="1" applyFill="1" applyBorder="1" applyAlignment="1" applyProtection="1">
      <alignment horizontal="center" vertical="center"/>
    </xf>
    <xf numFmtId="170" fontId="40" fillId="9" borderId="149" xfId="0" applyFont="1" applyFill="1" applyBorder="1" applyAlignment="1" applyProtection="1">
      <alignment horizontal="center" vertic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28" xfId="0" applyNumberFormat="1" applyFont="1" applyFill="1" applyBorder="1" applyAlignment="1" applyProtection="1">
      <alignment horizontal="justify" vertical="center" wrapText="1"/>
    </xf>
    <xf numFmtId="170" fontId="2" fillId="0" borderId="162" xfId="0" applyNumberFormat="1" applyFont="1" applyFill="1" applyBorder="1" applyAlignment="1" applyProtection="1">
      <alignment horizontal="justify" vertical="center" wrapText="1"/>
    </xf>
    <xf numFmtId="170" fontId="90" fillId="6" borderId="167" xfId="0" applyFont="1" applyFill="1" applyBorder="1" applyAlignment="1" applyProtection="1">
      <alignment horizontal="center" vertical="center"/>
    </xf>
    <xf numFmtId="170" fontId="90" fillId="6" borderId="168" xfId="0" applyFont="1" applyFill="1" applyBorder="1" applyAlignment="1" applyProtection="1">
      <alignment horizontal="center" vertical="center"/>
    </xf>
    <xf numFmtId="170" fontId="102" fillId="0" borderId="168" xfId="0" applyFont="1" applyBorder="1" applyAlignment="1">
      <alignment horizontal="center" vertical="center"/>
    </xf>
    <xf numFmtId="170" fontId="2" fillId="0" borderId="141" xfId="0" applyNumberFormat="1" applyFont="1" applyFill="1" applyBorder="1" applyAlignment="1" applyProtection="1">
      <alignment horizontal="justify" vertical="center" wrapText="1"/>
    </xf>
    <xf numFmtId="170" fontId="2" fillId="0" borderId="142"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73" xfId="0" applyNumberFormat="1" applyFont="1" applyFill="1" applyBorder="1" applyAlignment="1" applyProtection="1">
      <alignment horizontal="justify" vertical="center" wrapText="1"/>
    </xf>
    <xf numFmtId="170" fontId="90" fillId="6" borderId="169" xfId="0" applyFont="1" applyFill="1" applyBorder="1" applyAlignment="1" applyProtection="1">
      <alignment horizontal="center" vertical="center"/>
    </xf>
    <xf numFmtId="170" fontId="90" fillId="6" borderId="170" xfId="0" applyFont="1" applyFill="1" applyBorder="1" applyAlignment="1" applyProtection="1">
      <alignment horizontal="center" vertical="center"/>
    </xf>
    <xf numFmtId="170" fontId="90" fillId="6" borderId="171" xfId="0" applyFont="1" applyFill="1" applyBorder="1" applyAlignment="1" applyProtection="1">
      <alignment horizontal="center" vertical="center"/>
    </xf>
    <xf numFmtId="170" fontId="111" fillId="0" borderId="0" xfId="0" applyFont="1" applyFill="1" applyBorder="1" applyAlignment="1" applyProtection="1">
      <alignment horizontal="center"/>
    </xf>
    <xf numFmtId="170" fontId="2" fillId="0" borderId="145" xfId="0" applyNumberFormat="1" applyFont="1" applyFill="1" applyBorder="1" applyAlignment="1" applyProtection="1">
      <alignment horizontal="justify" vertical="center" wrapText="1"/>
    </xf>
    <xf numFmtId="170" fontId="2" fillId="0" borderId="146" xfId="0" applyNumberFormat="1" applyFont="1" applyFill="1" applyBorder="1" applyAlignment="1" applyProtection="1">
      <alignment horizontal="justify" vertical="center" wrapText="1"/>
    </xf>
    <xf numFmtId="170" fontId="52" fillId="2" borderId="4" xfId="0" applyFont="1" applyFill="1" applyBorder="1" applyAlignment="1" applyProtection="1">
      <alignment horizontal="center" vertical="center"/>
    </xf>
    <xf numFmtId="170" fontId="78" fillId="0" borderId="0" xfId="0" applyFont="1" applyBorder="1" applyAlignment="1" applyProtection="1">
      <alignment horizont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2" fillId="0" borderId="174" xfId="0" applyNumberFormat="1" applyFont="1" applyFill="1" applyBorder="1" applyAlignment="1" applyProtection="1">
      <alignment horizontal="justify" vertical="center" wrapText="1"/>
    </xf>
    <xf numFmtId="170" fontId="2" fillId="0" borderId="175" xfId="0" applyNumberFormat="1" applyFont="1" applyFill="1" applyBorder="1" applyAlignment="1" applyProtection="1">
      <alignment horizontal="justify" vertical="center" wrapText="1"/>
    </xf>
    <xf numFmtId="170" fontId="2" fillId="0" borderId="166" xfId="0" applyNumberFormat="1" applyFont="1" applyFill="1" applyBorder="1" applyAlignment="1" applyProtection="1">
      <alignment horizontal="justify" vertical="center" wrapText="1"/>
    </xf>
    <xf numFmtId="170" fontId="40" fillId="5" borderId="178" xfId="0" applyFont="1" applyFill="1" applyBorder="1" applyAlignment="1" applyProtection="1">
      <alignment horizontal="center" vertical="center"/>
    </xf>
    <xf numFmtId="170" fontId="40" fillId="5" borderId="179" xfId="0" applyFont="1" applyFill="1" applyBorder="1" applyAlignment="1" applyProtection="1">
      <alignment horizontal="center" vertical="center"/>
    </xf>
    <xf numFmtId="170" fontId="40" fillId="5" borderId="180" xfId="0" applyFont="1" applyFill="1" applyBorder="1" applyAlignment="1" applyProtection="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9" fontId="2" fillId="0" borderId="176" xfId="19" applyNumberFormat="1"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2" fillId="0" borderId="80" xfId="0" applyFont="1" applyBorder="1" applyAlignment="1">
      <alignment horizontal="justify" vertical="top" wrapText="1"/>
    </xf>
    <xf numFmtId="170" fontId="102"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2" fillId="0" borderId="217" xfId="0" applyFont="1" applyBorder="1" applyAlignment="1">
      <alignment horizontal="justify" vertical="top" wrapText="1"/>
    </xf>
    <xf numFmtId="170" fontId="102" fillId="0" borderId="218" xfId="0" applyFont="1" applyBorder="1" applyAlignment="1">
      <alignment horizontal="justify" vertical="top" wrapText="1"/>
    </xf>
    <xf numFmtId="170" fontId="2" fillId="0" borderId="181" xfId="0" applyNumberFormat="1" applyFont="1" applyFill="1" applyBorder="1" applyAlignment="1" applyProtection="1">
      <alignment horizontal="justify" vertical="center" wrapText="1"/>
    </xf>
    <xf numFmtId="170" fontId="2" fillId="0" borderId="182" xfId="0" applyNumberFormat="1" applyFont="1" applyFill="1" applyBorder="1" applyAlignment="1" applyProtection="1">
      <alignment horizontal="justify" vertical="center" wrapText="1"/>
    </xf>
    <xf numFmtId="170" fontId="2" fillId="0" borderId="183" xfId="0" applyNumberFormat="1" applyFont="1" applyFill="1" applyBorder="1" applyAlignment="1" applyProtection="1">
      <alignment horizontal="justify" vertical="center" wrapText="1"/>
    </xf>
    <xf numFmtId="170" fontId="69"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04" xfId="0" applyFont="1" applyFill="1" applyBorder="1" applyAlignment="1" applyProtection="1">
      <alignment horizontal="left"/>
      <protection locked="0"/>
    </xf>
    <xf numFmtId="170" fontId="14" fillId="0" borderId="161" xfId="0" applyFont="1" applyFill="1" applyBorder="1" applyAlignment="1" applyProtection="1">
      <alignment horizontal="left"/>
      <protection locked="0"/>
    </xf>
    <xf numFmtId="170" fontId="14" fillId="0" borderId="193" xfId="0" applyFont="1" applyFill="1" applyBorder="1" applyAlignment="1" applyProtection="1">
      <alignment horizontal="left"/>
      <protection locked="0"/>
    </xf>
    <xf numFmtId="170" fontId="14" fillId="0" borderId="205" xfId="0" applyFont="1" applyFill="1" applyBorder="1" applyAlignment="1" applyProtection="1">
      <alignment horizontal="left"/>
      <protection locked="0"/>
    </xf>
    <xf numFmtId="170" fontId="14" fillId="0" borderId="194" xfId="0" applyFont="1" applyFill="1" applyBorder="1" applyAlignment="1" applyProtection="1">
      <alignment horizontal="left"/>
      <protection locked="0"/>
    </xf>
    <xf numFmtId="170" fontId="14" fillId="0" borderId="195" xfId="0" applyFont="1" applyFill="1" applyBorder="1" applyAlignment="1" applyProtection="1">
      <alignment horizontal="left"/>
      <protection locked="0"/>
    </xf>
    <xf numFmtId="170" fontId="14" fillId="0" borderId="190" xfId="0" applyFont="1" applyBorder="1" applyAlignment="1" applyProtection="1">
      <alignment horizontal="left"/>
      <protection locked="0"/>
    </xf>
    <xf numFmtId="170" fontId="14" fillId="0" borderId="184" xfId="0" applyFont="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2" xfId="0" applyFont="1" applyBorder="1" applyAlignment="1" applyProtection="1">
      <alignment horizontal="left"/>
      <protection locked="0"/>
    </xf>
    <xf numFmtId="170" fontId="14" fillId="0" borderId="196" xfId="0" applyFont="1" applyFill="1" applyBorder="1" applyAlignment="1" applyProtection="1">
      <alignment horizontal="left" vertical="top" wrapText="1"/>
      <protection locked="0"/>
    </xf>
    <xf numFmtId="170" fontId="14" fillId="0" borderId="197" xfId="0" applyFont="1" applyFill="1" applyBorder="1" applyAlignment="1" applyProtection="1">
      <alignment horizontal="left" vertical="top" wrapText="1"/>
      <protection locked="0"/>
    </xf>
    <xf numFmtId="170" fontId="14" fillId="0" borderId="198" xfId="0" applyFont="1" applyFill="1" applyBorder="1" applyAlignment="1" applyProtection="1">
      <alignment horizontal="left" vertical="top" wrapText="1"/>
      <protection locked="0"/>
    </xf>
    <xf numFmtId="170" fontId="14" fillId="0" borderId="199" xfId="0" applyFont="1" applyFill="1" applyBorder="1" applyAlignment="1" applyProtection="1">
      <alignment horizontal="left" vertical="top" wrapText="1"/>
      <protection locked="0"/>
    </xf>
    <xf numFmtId="170" fontId="14" fillId="0" borderId="164" xfId="0" applyFont="1" applyFill="1" applyBorder="1" applyAlignment="1" applyProtection="1">
      <alignment horizontal="left" vertical="top" wrapText="1"/>
      <protection locked="0"/>
    </xf>
    <xf numFmtId="170" fontId="14" fillId="0" borderId="200" xfId="0" applyFont="1" applyFill="1" applyBorder="1" applyAlignment="1" applyProtection="1">
      <alignment horizontal="left" vertical="top" wrapText="1"/>
      <protection locked="0"/>
    </xf>
    <xf numFmtId="170" fontId="14" fillId="0" borderId="22" xfId="0" applyFont="1" applyBorder="1" applyAlignment="1" applyProtection="1">
      <alignment horizontal="left"/>
      <protection locked="0"/>
    </xf>
    <xf numFmtId="170" fontId="14" fillId="0" borderId="184" xfId="0" applyFont="1" applyFill="1" applyBorder="1" applyAlignment="1" applyProtection="1">
      <alignment horizontal="left"/>
      <protection locked="0"/>
    </xf>
    <xf numFmtId="170" fontId="14" fillId="0" borderId="185" xfId="0" applyFont="1" applyFill="1" applyBorder="1" applyAlignment="1" applyProtection="1">
      <alignment horizontal="left"/>
      <protection locked="0"/>
    </xf>
    <xf numFmtId="170" fontId="14" fillId="0" borderId="206" xfId="0" applyFont="1" applyFill="1" applyBorder="1" applyAlignment="1" applyProtection="1">
      <alignment horizontal="left" vertical="top" wrapText="1"/>
      <protection locked="0"/>
    </xf>
    <xf numFmtId="170" fontId="14" fillId="0" borderId="207" xfId="0" applyFont="1" applyFill="1" applyBorder="1" applyAlignment="1" applyProtection="1">
      <alignment horizontal="left" vertical="top" wrapText="1"/>
      <protection locked="0"/>
    </xf>
    <xf numFmtId="170" fontId="14" fillId="0" borderId="208" xfId="0" applyFont="1" applyFill="1" applyBorder="1" applyAlignment="1" applyProtection="1">
      <alignment horizontal="left" vertical="top" wrapText="1"/>
      <protection locked="0"/>
    </xf>
    <xf numFmtId="170" fontId="14" fillId="0" borderId="209" xfId="0" applyFont="1" applyFill="1" applyBorder="1" applyAlignment="1" applyProtection="1">
      <alignment horizontal="left" vertical="top" wrapText="1"/>
      <protection locked="0"/>
    </xf>
    <xf numFmtId="170" fontId="14" fillId="0" borderId="192" xfId="0" applyFont="1" applyFill="1" applyBorder="1" applyAlignment="1" applyProtection="1">
      <alignment horizontal="left"/>
      <protection locked="0"/>
    </xf>
    <xf numFmtId="170" fontId="14" fillId="0" borderId="202" xfId="0" applyFont="1" applyFill="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2" xfId="0" applyFont="1" applyBorder="1" applyAlignment="1" applyProtection="1">
      <alignment horizontal="left"/>
      <protection locked="0"/>
    </xf>
    <xf numFmtId="170" fontId="50" fillId="4" borderId="5" xfId="18" applyNumberFormat="1" applyFont="1" applyFill="1" applyBorder="1" applyAlignment="1">
      <alignment horizontal="center" vertical="center" wrapText="1"/>
    </xf>
    <xf numFmtId="170" fontId="50" fillId="4" borderId="213" xfId="18" applyNumberFormat="1" applyFont="1" applyFill="1" applyBorder="1" applyAlignment="1">
      <alignment horizontal="center" vertical="center" wrapText="1"/>
    </xf>
    <xf numFmtId="170" fontId="14" fillId="0" borderId="186" xfId="0" applyFont="1" applyBorder="1" applyAlignment="1" applyProtection="1">
      <alignment horizontal="left"/>
      <protection locked="0"/>
    </xf>
    <xf numFmtId="170" fontId="14" fillId="0" borderId="22" xfId="0" applyFont="1" applyFill="1" applyBorder="1" applyAlignment="1" applyProtection="1">
      <alignment horizontal="left"/>
      <protection locked="0"/>
    </xf>
    <xf numFmtId="170" fontId="14" fillId="0" borderId="210" xfId="0" applyFont="1" applyFill="1" applyBorder="1" applyAlignment="1" applyProtection="1">
      <alignment horizontal="justify" vertical="center" wrapText="1"/>
      <protection locked="0"/>
    </xf>
    <xf numFmtId="170" fontId="14" fillId="0" borderId="207" xfId="0" applyFont="1" applyFill="1" applyBorder="1" applyAlignment="1" applyProtection="1">
      <alignment horizontal="justify" vertical="center" wrapText="1"/>
      <protection locked="0"/>
    </xf>
    <xf numFmtId="170" fontId="14" fillId="0" borderId="211" xfId="0" applyFont="1" applyFill="1" applyBorder="1" applyAlignment="1" applyProtection="1">
      <alignment horizontal="justify" vertical="center" wrapText="1"/>
      <protection locked="0"/>
    </xf>
    <xf numFmtId="170" fontId="14" fillId="0" borderId="212" xfId="0" applyFont="1" applyFill="1" applyBorder="1" applyAlignment="1" applyProtection="1">
      <alignment horizontal="justify" vertical="center" wrapText="1"/>
      <protection locked="0"/>
    </xf>
    <xf numFmtId="170" fontId="14" fillId="0" borderId="164" xfId="0" applyFont="1" applyFill="1" applyBorder="1" applyAlignment="1" applyProtection="1">
      <alignment horizontal="justify" vertical="center" wrapText="1"/>
      <protection locked="0"/>
    </xf>
    <xf numFmtId="170" fontId="14" fillId="0" borderId="200" xfId="0" applyFont="1" applyFill="1" applyBorder="1" applyAlignment="1" applyProtection="1">
      <alignment horizontal="justify" vertical="center" wrapText="1"/>
      <protection locked="0"/>
    </xf>
    <xf numFmtId="170" fontId="14" fillId="0" borderId="161" xfId="0" applyFont="1" applyFill="1" applyBorder="1" applyAlignment="1" applyProtection="1">
      <alignment horizontal="left" vertical="center" wrapText="1"/>
      <protection locked="0"/>
    </xf>
    <xf numFmtId="170" fontId="14" fillId="0" borderId="193" xfId="0" applyFont="1" applyFill="1" applyBorder="1" applyAlignment="1" applyProtection="1">
      <alignment horizontal="left" vertical="center" wrapText="1"/>
      <protection locked="0"/>
    </xf>
    <xf numFmtId="170" fontId="14" fillId="0" borderId="190" xfId="0" applyFont="1" applyFill="1" applyBorder="1" applyAlignment="1" applyProtection="1">
      <alignment horizontal="left"/>
      <protection locked="0"/>
    </xf>
    <xf numFmtId="170" fontId="14" fillId="0" borderId="194" xfId="0" applyFont="1" applyFill="1" applyBorder="1" applyAlignment="1" applyProtection="1">
      <alignment horizontal="left" vertical="center" wrapText="1"/>
      <protection locked="0"/>
    </xf>
    <xf numFmtId="170" fontId="14" fillId="0" borderId="195" xfId="0" applyFont="1" applyFill="1" applyBorder="1" applyAlignment="1" applyProtection="1">
      <alignment horizontal="left" vertical="center" wrapText="1"/>
      <protection locked="0"/>
    </xf>
    <xf numFmtId="170" fontId="14" fillId="0" borderId="201" xfId="0" applyFont="1" applyFill="1" applyBorder="1" applyAlignment="1" applyProtection="1">
      <alignment horizontal="left"/>
      <protection locked="0"/>
    </xf>
    <xf numFmtId="170" fontId="14" fillId="0" borderId="214" xfId="0" applyFont="1" applyFill="1" applyBorder="1" applyAlignment="1" applyProtection="1">
      <alignment horizontal="justify" vertical="center" wrapText="1"/>
      <protection locked="0"/>
    </xf>
    <xf numFmtId="170" fontId="14" fillId="0" borderId="197" xfId="0" applyFont="1" applyFill="1" applyBorder="1" applyAlignment="1" applyProtection="1">
      <alignment horizontal="justify" vertical="center" wrapText="1"/>
      <protection locked="0"/>
    </xf>
    <xf numFmtId="170" fontId="14" fillId="0" borderId="198" xfId="0" applyFont="1" applyFill="1" applyBorder="1" applyAlignment="1" applyProtection="1">
      <alignment horizontal="justify" vertical="center" wrapText="1"/>
      <protection locked="0"/>
    </xf>
    <xf numFmtId="164" fontId="41" fillId="14" borderId="0" xfId="13" applyFont="1" applyFill="1" applyAlignment="1">
      <alignment horizontal="center" vertical="center"/>
    </xf>
    <xf numFmtId="164" fontId="8" fillId="13" borderId="0" xfId="22" applyFont="1" applyFill="1" applyBorder="1" applyAlignment="1" applyProtection="1">
      <alignment horizontal="center"/>
      <protection locked="0"/>
    </xf>
    <xf numFmtId="170" fontId="14" fillId="0" borderId="186" xfId="0" applyFont="1" applyFill="1" applyBorder="1" applyAlignment="1" applyProtection="1">
      <alignment horizontal="left"/>
      <protection locked="0"/>
    </xf>
    <xf numFmtId="164" fontId="7" fillId="0" borderId="0" xfId="0" applyNumberFormat="1" applyFont="1" applyAlignment="1">
      <alignment horizontal="center"/>
    </xf>
    <xf numFmtId="164" fontId="20" fillId="0" borderId="0" xfId="0" applyNumberFormat="1" applyFont="1" applyAlignment="1">
      <alignment horizontal="right"/>
    </xf>
    <xf numFmtId="15" fontId="20" fillId="0" borderId="0" xfId="0" applyNumberFormat="1" applyFont="1" applyAlignment="1">
      <alignment horizontal="right"/>
    </xf>
    <xf numFmtId="170" fontId="78" fillId="0" borderId="0" xfId="0" applyFont="1" applyAlignment="1">
      <alignment horizontal="center"/>
    </xf>
    <xf numFmtId="164" fontId="20" fillId="0" borderId="0" xfId="0" applyNumberFormat="1" applyFont="1" applyAlignment="1">
      <alignment horizontal="left"/>
    </xf>
    <xf numFmtId="170" fontId="50" fillId="4" borderId="187" xfId="18" applyNumberFormat="1" applyFont="1" applyFill="1" applyBorder="1" applyAlignment="1">
      <alignment horizontal="center" vertical="center" wrapText="1"/>
    </xf>
    <xf numFmtId="170" fontId="50" fillId="4" borderId="188" xfId="18" applyNumberFormat="1" applyFont="1" applyFill="1" applyBorder="1" applyAlignment="1">
      <alignment horizontal="center" vertical="center" wrapText="1"/>
    </xf>
    <xf numFmtId="170" fontId="50" fillId="4" borderId="189" xfId="18" applyNumberFormat="1" applyFont="1" applyFill="1" applyBorder="1" applyAlignment="1">
      <alignment horizontal="center" vertical="center" wrapText="1"/>
    </xf>
    <xf numFmtId="170" fontId="14" fillId="0" borderId="201" xfId="0" applyFont="1" applyBorder="1" applyAlignment="1" applyProtection="1">
      <alignment horizontal="left"/>
      <protection locked="0"/>
    </xf>
    <xf numFmtId="170" fontId="102" fillId="5" borderId="109" xfId="0" applyFont="1" applyFill="1" applyBorder="1" applyAlignment="1" applyProtection="1">
      <alignment horizontal="justify" vertical="top" wrapText="1"/>
      <protection locked="0"/>
    </xf>
    <xf numFmtId="170" fontId="102" fillId="5" borderId="108" xfId="0" applyFont="1" applyFill="1" applyBorder="1" applyAlignment="1" applyProtection="1">
      <alignment horizontal="justify" vertical="top" wrapText="1"/>
      <protection locked="0"/>
    </xf>
    <xf numFmtId="170" fontId="102" fillId="5" borderId="110" xfId="0" applyFont="1" applyFill="1" applyBorder="1" applyAlignment="1" applyProtection="1">
      <alignment horizontal="justify" vertical="top" wrapText="1"/>
      <protection locked="0"/>
    </xf>
    <xf numFmtId="170" fontId="102" fillId="5" borderId="111" xfId="0" applyFont="1" applyFill="1" applyBorder="1" applyAlignment="1" applyProtection="1">
      <alignment horizontal="justify" vertical="top" wrapText="1"/>
      <protection locked="0"/>
    </xf>
    <xf numFmtId="170" fontId="102" fillId="5" borderId="73" xfId="0" applyFont="1" applyFill="1" applyBorder="1" applyAlignment="1" applyProtection="1">
      <alignment horizontal="justify" vertical="top" wrapText="1"/>
      <protection locked="0"/>
    </xf>
    <xf numFmtId="170" fontId="102" fillId="5" borderId="75" xfId="0" applyFont="1" applyFill="1" applyBorder="1" applyAlignment="1" applyProtection="1">
      <alignment horizontal="justify" vertical="top" wrapText="1"/>
      <protection locked="0"/>
    </xf>
    <xf numFmtId="170" fontId="50" fillId="4" borderId="203" xfId="18" applyNumberFormat="1" applyFont="1" applyFill="1" applyBorder="1" applyAlignment="1">
      <alignment horizontal="center" vertical="center" wrapText="1"/>
    </xf>
    <xf numFmtId="170" fontId="14" fillId="0" borderId="191" xfId="0" applyFont="1" applyFill="1" applyBorder="1" applyAlignment="1" applyProtection="1">
      <alignment horizontal="left"/>
      <protection locked="0"/>
    </xf>
    <xf numFmtId="170" fontId="25" fillId="0" borderId="0" xfId="0" applyFont="1" applyAlignment="1">
      <alignment horizontal="center"/>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58">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rgb="FFFF0000"/>
        </patternFill>
      </fill>
    </dxf>
    <dxf>
      <fill>
        <patternFill>
          <bgColor indexed="42"/>
        </patternFill>
      </fill>
    </dxf>
    <dxf>
      <fill>
        <patternFill>
          <bgColor indexed="42"/>
        </patternFill>
      </fill>
    </dxf>
  </dxfs>
  <tableStyles count="1" defaultTableStyle="TableStyleMedium9"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datelor'!$D$81</c:f>
              <c:strCache>
                <c:ptCount val="1"/>
                <c:pt idx="0">
                  <c:v>14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datelor'!$D$81:$D$82</c:f>
              <c:numCache>
                <c:formatCode>[$$-409]#,##0_);\([$$-409]#,##0\)</c:formatCode>
                <c:ptCount val="2"/>
                <c:pt idx="0" formatCode="#,##0">
                  <c:v>14</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172853072"/>
        <c:axId val="172853856"/>
      </c:barChart>
      <c:catAx>
        <c:axId val="172853072"/>
        <c:scaling>
          <c:orientation val="minMax"/>
        </c:scaling>
        <c:delete val="1"/>
        <c:axPos val="l"/>
        <c:numFmt formatCode="General" sourceLinked="1"/>
        <c:majorTickMark val="out"/>
        <c:minorTickMark val="none"/>
        <c:tickLblPos val="none"/>
        <c:crossAx val="172853856"/>
        <c:crosses val="autoZero"/>
        <c:auto val="1"/>
        <c:lblAlgn val="ctr"/>
        <c:lblOffset val="100"/>
        <c:noMultiLvlLbl val="0"/>
      </c:catAx>
      <c:valAx>
        <c:axId val="17285385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72853072"/>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datelor'!$H$123:$S$123</c:f>
              <c:numCache>
                <c:formatCode>#,##0</c:formatCode>
                <c:ptCount val="12"/>
                <c:pt idx="0" formatCode="0.00">
                  <c:v>3.06</c:v>
                </c:pt>
                <c:pt idx="1">
                  <c:v>0</c:v>
                </c:pt>
                <c:pt idx="2" formatCode="0.00">
                  <c:v>3.8</c:v>
                </c:pt>
                <c:pt idx="3" formatCode="0.00%">
                  <c:v>0</c:v>
                </c:pt>
                <c:pt idx="4" formatCode="0.00">
                  <c:v>3.7</c:v>
                </c:pt>
                <c:pt idx="5" formatCode="0.00%">
                  <c:v>0</c:v>
                </c:pt>
                <c:pt idx="6" formatCode="0.00">
                  <c:v>3.6</c:v>
                </c:pt>
              </c:numCache>
            </c:numRef>
          </c:val>
          <c:extLst>
            <c:ext xmlns:c16="http://schemas.microsoft.com/office/drawing/2014/chart" uri="{C3380CC4-5D6E-409C-BE32-E72D297353CC}">
              <c16:uniqueId val="{00000002-52EC-4BDC-81F0-2E469D21FB78}"/>
            </c:ext>
          </c:extLst>
        </c:ser>
        <c:ser>
          <c:idx val="2"/>
          <c:order val="1"/>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datelor'!$H$124:$S$124</c:f>
              <c:numCache>
                <c:formatCode>0.00%</c:formatCode>
                <c:ptCount val="12"/>
                <c:pt idx="0" formatCode="0.00">
                  <c:v>3.6</c:v>
                </c:pt>
                <c:pt idx="1">
                  <c:v>0</c:v>
                </c:pt>
                <c:pt idx="2" formatCode="0.00">
                  <c:v>4.2699999999999996</c:v>
                </c:pt>
                <c:pt idx="3">
                  <c:v>0</c:v>
                </c:pt>
                <c:pt idx="4" formatCode="0.00">
                  <c:v>3.9</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218386456"/>
        <c:axId val="217705448"/>
      </c:barChart>
      <c:catAx>
        <c:axId val="218386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705448"/>
        <c:crosses val="autoZero"/>
        <c:auto val="1"/>
        <c:lblAlgn val="ctr"/>
        <c:lblOffset val="100"/>
        <c:tickLblSkip val="1"/>
        <c:tickMarkSkip val="1"/>
        <c:noMultiLvlLbl val="0"/>
      </c:catAx>
      <c:valAx>
        <c:axId val="217705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6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datelor'!$G$118</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datelor'!$H$118:$S$118</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datelor'!$G$119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datelor'!$H$119:$S$119</c:f>
              <c:numCache>
                <c:formatCode>0.0</c:formatCode>
                <c:ptCount val="12"/>
                <c:pt idx="0">
                  <c:v>8.6999999999999993</c:v>
                </c:pt>
                <c:pt idx="1">
                  <c:v>8.1999999999999993</c:v>
                </c:pt>
                <c:pt idx="2">
                  <c:v>8.1999999999999993</c:v>
                </c:pt>
                <c:pt idx="3">
                  <c:v>7.7</c:v>
                </c:pt>
                <c:pt idx="4">
                  <c:v>7.7</c:v>
                </c:pt>
                <c:pt idx="5">
                  <c:v>7.2</c:v>
                </c:pt>
              </c:numCache>
            </c:numRef>
          </c:val>
          <c:extLst>
            <c:ext xmlns:c16="http://schemas.microsoft.com/office/drawing/2014/chart" uri="{C3380CC4-5D6E-409C-BE32-E72D297353CC}">
              <c16:uniqueId val="{0000000B-ED6C-4DE1-9468-E65DE69FFA0B}"/>
            </c:ext>
          </c:extLst>
        </c:ser>
        <c:ser>
          <c:idx val="2"/>
          <c:order val="2"/>
          <c:tx>
            <c:strRef>
              <c:f>'Introducerea datelor'!$G$120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datelor'!$H$120:$S$120</c:f>
              <c:numCache>
                <c:formatCode>0.0</c:formatCode>
                <c:ptCount val="12"/>
                <c:pt idx="0" formatCode="0.00">
                  <c:v>7.94</c:v>
                </c:pt>
                <c:pt idx="1">
                  <c:v>7.54</c:v>
                </c:pt>
                <c:pt idx="2">
                  <c:v>7.54</c:v>
                </c:pt>
                <c:pt idx="3">
                  <c:v>5.92</c:v>
                </c:pt>
                <c:pt idx="4">
                  <c:v>7.9</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218658232"/>
        <c:axId val="218658624"/>
      </c:barChart>
      <c:catAx>
        <c:axId val="2186582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8624"/>
        <c:crosses val="autoZero"/>
        <c:auto val="1"/>
        <c:lblAlgn val="ctr"/>
        <c:lblOffset val="100"/>
        <c:tickLblSkip val="1"/>
        <c:tickMarkSkip val="1"/>
        <c:noMultiLvlLbl val="0"/>
      </c:catAx>
      <c:valAx>
        <c:axId val="218658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8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c:formatCode>
                <c:ptCount val="12"/>
                <c:pt idx="0">
                  <c:v>0</c:v>
                </c:pt>
                <c:pt idx="1">
                  <c:v>0</c:v>
                </c:pt>
                <c:pt idx="2">
                  <c:v>0</c:v>
                </c:pt>
                <c:pt idx="3">
                  <c:v>0</c:v>
                </c:pt>
                <c:pt idx="4">
                  <c:v>0</c:v>
                </c:pt>
                <c:pt idx="5" formatCode="0.0%">
                  <c:v>3.9E-2</c:v>
                </c:pt>
              </c:numCache>
            </c:numRef>
          </c:val>
          <c:extLst>
            <c:ext xmlns:c16="http://schemas.microsoft.com/office/drawing/2014/chart" uri="{C3380CC4-5D6E-409C-BE32-E72D297353CC}">
              <c16:uniqueId val="{00000002-AB67-4507-9DCD-77920C14C072}"/>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0.00%</c:formatCode>
                <c:ptCount val="12"/>
                <c:pt idx="0" formatCode="#,##0">
                  <c:v>0</c:v>
                </c:pt>
                <c:pt idx="1">
                  <c:v>0</c:v>
                </c:pt>
                <c:pt idx="2" formatCode="#,##0">
                  <c:v>0</c:v>
                </c:pt>
                <c:pt idx="3" formatCode="0">
                  <c:v>0</c:v>
                </c:pt>
                <c:pt idx="4" formatCode="0">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218659408"/>
        <c:axId val="218659800"/>
      </c:barChart>
      <c:catAx>
        <c:axId val="218659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9800"/>
        <c:crosses val="autoZero"/>
        <c:auto val="1"/>
        <c:lblAlgn val="ctr"/>
        <c:lblOffset val="100"/>
        <c:tickLblSkip val="1"/>
        <c:tickMarkSkip val="1"/>
        <c:noMultiLvlLbl val="0"/>
      </c:catAx>
      <c:valAx>
        <c:axId val="218659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c:formatCode>
                <c:ptCount val="12"/>
                <c:pt idx="0">
                  <c:v>0</c:v>
                </c:pt>
                <c:pt idx="1">
                  <c:v>0</c:v>
                </c:pt>
                <c:pt idx="2">
                  <c:v>0</c:v>
                </c:pt>
                <c:pt idx="3">
                  <c:v>0</c:v>
                </c:pt>
                <c:pt idx="4">
                  <c:v>0</c:v>
                </c:pt>
                <c:pt idx="5" formatCode="0.0%">
                  <c:v>0.13900000000000001</c:v>
                </c:pt>
              </c:numCache>
            </c:numRef>
          </c:val>
          <c:extLst>
            <c:ext xmlns:c16="http://schemas.microsoft.com/office/drawing/2014/chart" uri="{C3380CC4-5D6E-409C-BE32-E72D297353CC}">
              <c16:uniqueId val="{00000002-4350-409D-B5E1-D06548E981D0}"/>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0.00%</c:formatCode>
                <c:ptCount val="12"/>
                <c:pt idx="0" formatCode="#,##0">
                  <c:v>0</c:v>
                </c:pt>
                <c:pt idx="1">
                  <c:v>0</c:v>
                </c:pt>
                <c:pt idx="2" formatCode="#,##0">
                  <c:v>0</c:v>
                </c:pt>
                <c:pt idx="3" formatCode="0">
                  <c:v>0</c:v>
                </c:pt>
                <c:pt idx="4" formatCode="0.0">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218660584"/>
        <c:axId val="218660976"/>
      </c:barChart>
      <c:catAx>
        <c:axId val="2186605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60976"/>
        <c:crosses val="autoZero"/>
        <c:auto val="1"/>
        <c:lblAlgn val="ctr"/>
        <c:lblOffset val="100"/>
        <c:tickLblSkip val="1"/>
        <c:tickMarkSkip val="1"/>
        <c:noMultiLvlLbl val="0"/>
      </c:catAx>
      <c:valAx>
        <c:axId val="218660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60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c:formatCode>
                <c:ptCount val="12"/>
                <c:pt idx="0" formatCode="0.0">
                  <c:v>0</c:v>
                </c:pt>
                <c:pt idx="1">
                  <c:v>0</c:v>
                </c:pt>
                <c:pt idx="2" formatCode="0.0">
                  <c:v>0</c:v>
                </c:pt>
                <c:pt idx="3" formatCode="0.0">
                  <c:v>0</c:v>
                </c:pt>
                <c:pt idx="4" formatCode="0.0">
                  <c:v>0</c:v>
                </c:pt>
                <c:pt idx="5" formatCode="0.0%">
                  <c:v>0.09</c:v>
                </c:pt>
              </c:numCache>
            </c:numRef>
          </c:val>
          <c:extLst>
            <c:ext xmlns:c16="http://schemas.microsoft.com/office/drawing/2014/chart" uri="{C3380CC4-5D6E-409C-BE32-E72D297353CC}">
              <c16:uniqueId val="{00000005-45E1-4BA1-8735-4FFEBDCD01F4}"/>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0.00%</c:formatCode>
                <c:ptCount val="12"/>
                <c:pt idx="0" formatCode="0.0">
                  <c:v>0</c:v>
                </c:pt>
                <c:pt idx="1">
                  <c:v>0</c:v>
                </c:pt>
                <c:pt idx="2" formatCode="0.0">
                  <c:v>0</c:v>
                </c:pt>
                <c:pt idx="3" formatCode="0.0">
                  <c:v>0</c:v>
                </c:pt>
                <c:pt idx="4" formatCode="0.0">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219195792"/>
        <c:axId val="219196184"/>
      </c:barChart>
      <c:catAx>
        <c:axId val="219195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196184"/>
        <c:crosses val="autoZero"/>
        <c:auto val="1"/>
        <c:lblAlgn val="ctr"/>
        <c:lblOffset val="100"/>
        <c:tickLblSkip val="1"/>
        <c:tickMarkSkip val="1"/>
        <c:noMultiLvlLbl val="0"/>
      </c:catAx>
      <c:valAx>
        <c:axId val="219196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195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1692851</c:v>
                </c:pt>
                <c:pt idx="1">
                  <c:v>3291075</c:v>
                </c:pt>
                <c:pt idx="2">
                  <c:v>6758806</c:v>
                </c:pt>
                <c:pt idx="3">
                  <c:v>9390571</c:v>
                </c:pt>
                <c:pt idx="4">
                  <c:v>11470777.970000001</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2829876.8</c:v>
                </c:pt>
                <c:pt idx="1">
                  <c:v>4014018.53</c:v>
                </c:pt>
                <c:pt idx="2">
                  <c:v>6371180.4100000001</c:v>
                </c:pt>
                <c:pt idx="3">
                  <c:v>8212993.3200000003</c:v>
                </c:pt>
                <c:pt idx="4">
                  <c:v>10624599.310000001</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219196576"/>
        <c:axId val="219196968"/>
      </c:areaChart>
      <c:catAx>
        <c:axId val="219196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19196968"/>
        <c:crosses val="autoZero"/>
        <c:auto val="1"/>
        <c:lblAlgn val="ctr"/>
        <c:lblOffset val="100"/>
        <c:tickLblSkip val="8"/>
        <c:tickMarkSkip val="1"/>
        <c:noMultiLvlLbl val="0"/>
      </c:catAx>
      <c:valAx>
        <c:axId val="21919696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191965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datelor'!$C$86</c:f>
              <c:numCache>
                <c:formatCode>#,##0</c:formatCode>
                <c:ptCount val="1"/>
                <c:pt idx="0">
                  <c:v>2</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217701920"/>
        <c:axId val="217702312"/>
      </c:barChart>
      <c:catAx>
        <c:axId val="21770192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217702312"/>
        <c:crosses val="autoZero"/>
        <c:auto val="0"/>
        <c:lblAlgn val="ctr"/>
        <c:lblOffset val="100"/>
        <c:tickMarkSkip val="1"/>
        <c:noMultiLvlLbl val="0"/>
      </c:catAx>
      <c:valAx>
        <c:axId val="217702312"/>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21770192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datelor'!$D$73</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datelor'!$D$74:$D$75</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datelor'!$E$73</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datelor'!$E$74:$E$75</c:f>
              <c:numCache>
                <c:formatCode>0</c:formatCode>
                <c:ptCount val="2"/>
                <c:pt idx="0">
                  <c:v>2</c:v>
                </c:pt>
              </c:numCache>
            </c:numRef>
          </c:val>
          <c:extLst>
            <c:ext xmlns:c16="http://schemas.microsoft.com/office/drawing/2014/chart" uri="{C3380CC4-5D6E-409C-BE32-E72D297353CC}">
              <c16:uniqueId val="{00000001-D08E-42FA-87E5-9BAD02454A53}"/>
            </c:ext>
          </c:extLst>
        </c:ser>
        <c:ser>
          <c:idx val="2"/>
          <c:order val="2"/>
          <c:tx>
            <c:strRef>
              <c:f>'Introducerea datelor'!$F$73</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datelor'!$F$74:$F$75</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217703096"/>
        <c:axId val="217703488"/>
      </c:barChart>
      <c:catAx>
        <c:axId val="2177030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7703488"/>
        <c:crosses val="autoZero"/>
        <c:auto val="1"/>
        <c:lblAlgn val="ctr"/>
        <c:lblOffset val="100"/>
        <c:tickLblSkip val="1"/>
        <c:tickMarkSkip val="1"/>
        <c:noMultiLvlLbl val="0"/>
      </c:catAx>
      <c:valAx>
        <c:axId val="21770348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77030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datelor'!$D$90</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datelor'!$D$91:$D$92</c:f>
              <c:numCache>
                <c:formatCode>0</c:formatCode>
                <c:ptCount val="2"/>
                <c:pt idx="0">
                  <c:v>8</c:v>
                </c:pt>
                <c:pt idx="1">
                  <c:v>4</c:v>
                </c:pt>
              </c:numCache>
            </c:numRef>
          </c:val>
          <c:extLst>
            <c:ext xmlns:c16="http://schemas.microsoft.com/office/drawing/2014/chart" uri="{C3380CC4-5D6E-409C-BE32-E72D297353CC}">
              <c16:uniqueId val="{00000000-0579-471F-8EB0-B16F21AC51C8}"/>
            </c:ext>
          </c:extLst>
        </c:ser>
        <c:ser>
          <c:idx val="2"/>
          <c:order val="1"/>
          <c:tx>
            <c:strRef>
              <c:f>'Introducerea datelor'!$E$90</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datelor'!$E$91:$E$92</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217704272"/>
        <c:axId val="217704664"/>
      </c:barChart>
      <c:catAx>
        <c:axId val="2177042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7704664"/>
        <c:crosses val="autoZero"/>
        <c:auto val="1"/>
        <c:lblAlgn val="ctr"/>
        <c:lblOffset val="100"/>
        <c:noMultiLvlLbl val="0"/>
      </c:catAx>
      <c:valAx>
        <c:axId val="21770466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770427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datelor'!$B$100</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datelor'!$C$100:$N$100</c:f>
              <c:numCache>
                <c:formatCode>#,##0</c:formatCode>
                <c:ptCount val="12"/>
                <c:pt idx="0">
                  <c:v>756111.89</c:v>
                </c:pt>
                <c:pt idx="1">
                  <c:v>1512223.78</c:v>
                </c:pt>
                <c:pt idx="2">
                  <c:v>3987526.6900000004</c:v>
                </c:pt>
                <c:pt idx="3">
                  <c:v>5580744.8499999996</c:v>
                </c:pt>
                <c:pt idx="4">
                  <c:v>6774618.4500000002</c:v>
                </c:pt>
              </c:numCache>
            </c:numRef>
          </c:val>
          <c:extLst>
            <c:ext xmlns:c16="http://schemas.microsoft.com/office/drawing/2014/chart" uri="{C3380CC4-5D6E-409C-BE32-E72D297353CC}">
              <c16:uniqueId val="{00000000-C2BB-4102-AC1C-6C02FD33FD2D}"/>
            </c:ext>
          </c:extLst>
        </c:ser>
        <c:ser>
          <c:idx val="1"/>
          <c:order val="1"/>
          <c:tx>
            <c:strRef>
              <c:f>'Introducerea datelor'!$B$101</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datelor'!$C$101:$N$101</c:f>
              <c:numCache>
                <c:formatCode>#,##0</c:formatCode>
                <c:ptCount val="12"/>
                <c:pt idx="0">
                  <c:v>1079919</c:v>
                </c:pt>
                <c:pt idx="1">
                  <c:v>2969001.8600000003</c:v>
                </c:pt>
                <c:pt idx="2">
                  <c:v>3790896.5700000003</c:v>
                </c:pt>
                <c:pt idx="3">
                  <c:v>4321476.8260422694</c:v>
                </c:pt>
                <c:pt idx="4">
                  <c:v>6256354.3360422691</c:v>
                </c:pt>
              </c:numCache>
            </c:numRef>
          </c:val>
          <c:extLst>
            <c:ext xmlns:c16="http://schemas.microsoft.com/office/drawing/2014/chart" uri="{C3380CC4-5D6E-409C-BE32-E72D297353CC}">
              <c16:uniqueId val="{00000001-C2BB-4102-AC1C-6C02FD33FD2D}"/>
            </c:ext>
          </c:extLst>
        </c:ser>
        <c:ser>
          <c:idx val="2"/>
          <c:order val="2"/>
          <c:tx>
            <c:strRef>
              <c:f>'Introducerea datelor'!$B$102</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datelor'!$C$102:$N$102</c:f>
              <c:numCache>
                <c:formatCode>#,##0</c:formatCode>
                <c:ptCount val="12"/>
                <c:pt idx="0">
                  <c:v>708982.7</c:v>
                </c:pt>
                <c:pt idx="1">
                  <c:v>2119800.5499999998</c:v>
                </c:pt>
                <c:pt idx="2">
                  <c:v>3136230.99</c:v>
                </c:pt>
                <c:pt idx="3">
                  <c:v>3963973.25</c:v>
                </c:pt>
                <c:pt idx="4">
                  <c:v>5541597</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218258840"/>
        <c:axId val="218259232"/>
      </c:barChart>
      <c:catAx>
        <c:axId val="218258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9232"/>
        <c:crosses val="autoZero"/>
        <c:auto val="1"/>
        <c:lblAlgn val="ctr"/>
        <c:lblOffset val="100"/>
        <c:noMultiLvlLbl val="0"/>
      </c:catAx>
      <c:valAx>
        <c:axId val="218259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1692851</c:v>
                </c:pt>
                <c:pt idx="1">
                  <c:v>3291075</c:v>
                </c:pt>
                <c:pt idx="2">
                  <c:v>6758806</c:v>
                </c:pt>
                <c:pt idx="3">
                  <c:v>9390571</c:v>
                </c:pt>
                <c:pt idx="4">
                  <c:v>11470777.970000001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2829876.8</c:v>
                </c:pt>
                <c:pt idx="1">
                  <c:v>4014018.53</c:v>
                </c:pt>
                <c:pt idx="2">
                  <c:v>6371180.4100000001</c:v>
                </c:pt>
                <c:pt idx="3">
                  <c:v>8212993.3200000003</c:v>
                </c:pt>
                <c:pt idx="4">
                  <c:v>10624599.310000001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218260408"/>
        <c:axId val="218260800"/>
      </c:barChart>
      <c:catAx>
        <c:axId val="218260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800"/>
        <c:crosses val="autoZero"/>
        <c:auto val="1"/>
        <c:lblAlgn val="ctr"/>
        <c:lblOffset val="100"/>
        <c:tickMarkSkip val="1"/>
        <c:noMultiLvlLbl val="0"/>
      </c:catAx>
      <c:valAx>
        <c:axId val="218260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datelor'!$C$53</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datelor'!$C$53:$C$57</c15:sqref>
                  </c15:fullRef>
                </c:ext>
              </c:extLst>
              <c:f>'Introducerea datelor'!$C$54:$C$57</c:f>
              <c:numCache>
                <c:formatCode>#,##0.00</c:formatCode>
                <c:ptCount val="4"/>
                <c:pt idx="0">
                  <c:v>8212993.3200000003</c:v>
                </c:pt>
                <c:pt idx="1">
                  <c:v>7210588.7800000003</c:v>
                </c:pt>
                <c:pt idx="2">
                  <c:v>765030.47</c:v>
                </c:pt>
                <c:pt idx="3">
                  <c:v>765030.47</c:v>
                </c:pt>
              </c:numCache>
            </c:numRef>
          </c:val>
          <c:extLst>
            <c:ext xmlns:c16="http://schemas.microsoft.com/office/drawing/2014/chart" uri="{C3380CC4-5D6E-409C-BE32-E72D297353CC}">
              <c16:uniqueId val="{00000000-C369-4708-87A9-A84FC531C4BE}"/>
            </c:ext>
          </c:extLst>
        </c:ser>
        <c:ser>
          <c:idx val="1"/>
          <c:order val="1"/>
          <c:tx>
            <c:strRef>
              <c:f>'Introducerea datelor'!$D$53</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datelor'!$D$53:$D$57</c15:sqref>
                  </c15:fullRef>
                </c:ext>
              </c:extLst>
              <c:f>'Introducerea datelor'!$D$54:$D$57</c:f>
              <c:numCache>
                <c:formatCode>#,##0.00</c:formatCode>
                <c:ptCount val="4"/>
                <c:pt idx="0">
                  <c:v>2411605.9900000002</c:v>
                </c:pt>
                <c:pt idx="1">
                  <c:v>2642287.2999999998</c:v>
                </c:pt>
                <c:pt idx="2">
                  <c:v>212787.68</c:v>
                </c:pt>
                <c:pt idx="3">
                  <c:v>105276.96770006171</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218258448"/>
        <c:axId val="218258056"/>
      </c:barChart>
      <c:catAx>
        <c:axId val="2182584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056"/>
        <c:crossesAt val="0"/>
        <c:auto val="1"/>
        <c:lblAlgn val="ctr"/>
        <c:lblOffset val="100"/>
        <c:noMultiLvlLbl val="0"/>
      </c:catAx>
      <c:valAx>
        <c:axId val="21825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4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0.75" l="0.25" r="0.25" t="0.75" header="0.3" footer="0.3"/>
    <c:pageSetup paperSize="8"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datelor'!$C$38:$C$45</c15:sqref>
                  </c15:fullRef>
                </c:ext>
              </c:extLst>
              <c:f>'Introducerea datelor'!$C$39:$C$45</c:f>
              <c:numCache>
                <c:formatCode>#,##0.00</c:formatCode>
                <c:ptCount val="7"/>
                <c:pt idx="0">
                  <c:v>1102638.79</c:v>
                </c:pt>
                <c:pt idx="1">
                  <c:v>3437382.09</c:v>
                </c:pt>
                <c:pt idx="2">
                  <c:v>455002.95</c:v>
                </c:pt>
                <c:pt idx="3">
                  <c:v>3217002.21</c:v>
                </c:pt>
                <c:pt idx="4">
                  <c:v>2245083.19</c:v>
                </c:pt>
                <c:pt idx="5">
                  <c:v>188349.55</c:v>
                </c:pt>
                <c:pt idx="6">
                  <c:v>809064.66</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datelor'!$D$38:$D$45</c15:sqref>
                  </c15:fullRef>
                </c:ext>
              </c:extLst>
              <c:f>'Introducerea datelor'!$D$39:$D$45</c:f>
              <c:numCache>
                <c:formatCode>#,##0.00</c:formatCode>
                <c:ptCount val="7"/>
                <c:pt idx="0">
                  <c:v>853155.54</c:v>
                </c:pt>
                <c:pt idx="1">
                  <c:v>2541286.6</c:v>
                </c:pt>
                <c:pt idx="2">
                  <c:v>256858.95</c:v>
                </c:pt>
                <c:pt idx="3">
                  <c:v>2797296.78</c:v>
                </c:pt>
                <c:pt idx="4">
                  <c:v>2082598.57</c:v>
                </c:pt>
                <c:pt idx="5">
                  <c:v>183967.06</c:v>
                </c:pt>
                <c:pt idx="6">
                  <c:v>862296.83</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218260016"/>
        <c:axId val="218383712"/>
      </c:barChart>
      <c:catAx>
        <c:axId val="2182600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3712"/>
        <c:crosses val="autoZero"/>
        <c:auto val="1"/>
        <c:lblAlgn val="ctr"/>
        <c:lblOffset val="100"/>
        <c:tickMarkSkip val="1"/>
        <c:noMultiLvlLbl val="0"/>
      </c:catAx>
      <c:valAx>
        <c:axId val="218383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0.0%</c:formatCode>
                <c:ptCount val="12"/>
                <c:pt idx="0">
                  <c:v>0.20499999999999999</c:v>
                </c:pt>
                <c:pt idx="1">
                  <c:v>0.24</c:v>
                </c:pt>
                <c:pt idx="2">
                  <c:v>0.24</c:v>
                </c:pt>
                <c:pt idx="3">
                  <c:v>0.23</c:v>
                </c:pt>
                <c:pt idx="4">
                  <c:v>0.23</c:v>
                </c:pt>
                <c:pt idx="5">
                  <c:v>0.21</c:v>
                </c:pt>
              </c:numCache>
            </c:numRef>
          </c:val>
          <c:extLst>
            <c:ext xmlns:c16="http://schemas.microsoft.com/office/drawing/2014/chart" uri="{C3380CC4-5D6E-409C-BE32-E72D297353CC}">
              <c16:uniqueId val="{00000002-DCD8-4C81-A46D-B0AFC1EAE687}"/>
            </c:ext>
          </c:extLst>
        </c:ser>
        <c:ser>
          <c:idx val="2"/>
          <c:order val="1"/>
          <c:tx>
            <c:strRef>
              <c:f>'Introducerea datelor'!$G$122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datelor'!$H$122:$S$122</c:f>
              <c:numCache>
                <c:formatCode>0.0%</c:formatCode>
                <c:ptCount val="12"/>
                <c:pt idx="0">
                  <c:v>0.26600000000000001</c:v>
                </c:pt>
                <c:pt idx="1">
                  <c:v>0.27600000000000002</c:v>
                </c:pt>
                <c:pt idx="2">
                  <c:v>0.27700000000000002</c:v>
                </c:pt>
                <c:pt idx="3">
                  <c:v>0.28260000000000002</c:v>
                </c:pt>
                <c:pt idx="4">
                  <c:v>0.26900000000000002</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218384888"/>
        <c:axId val="218385672"/>
      </c:barChart>
      <c:catAx>
        <c:axId val="2183848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a:lstStyle/>
          <a:p>
            <a:pPr>
              <a:defRPr/>
            </a:pPr>
            <a:endParaRPr lang="en-US"/>
          </a:p>
        </c:txPr>
        <c:crossAx val="218385672"/>
        <c:crosses val="autoZero"/>
        <c:auto val="1"/>
        <c:lblAlgn val="ctr"/>
        <c:lblOffset val="100"/>
        <c:tickLblSkip val="1"/>
        <c:tickMarkSkip val="1"/>
        <c:noMultiLvlLbl val="0"/>
      </c:catAx>
      <c:valAx>
        <c:axId val="218385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a:lstStyle/>
          <a:p>
            <a:pPr>
              <a:defRPr/>
            </a:pPr>
            <a:endParaRPr lang="en-US"/>
          </a:p>
        </c:txPr>
        <c:crossAx val="218384888"/>
        <c:crosses val="autoZero"/>
        <c:crossBetween val="between"/>
      </c:valAx>
      <c:spPr>
        <a:noFill/>
        <a:ln>
          <a:noFill/>
        </a:ln>
        <a:effectLst/>
      </c:spPr>
    </c:plotArea>
    <c:legend>
      <c:legendPos val="b"/>
      <c:overlay val="0"/>
      <c:spPr>
        <a:noFill/>
        <a:ln>
          <a:noFill/>
        </a:ln>
        <a:effectLst/>
      </c:spPr>
      <c:txPr>
        <a:bodyPr rot="0" vert="horz"/>
        <a:lstStyle/>
        <a:p>
          <a:pPr rtl="0">
            <a:defRPr/>
          </a:pPr>
          <a:endParaRPr lang="en-US"/>
        </a:p>
      </c:txPr>
    </c:legend>
    <c:plotVisOnly val="1"/>
    <c:dispBlanksAs val="gap"/>
    <c:showDLblsOverMax val="0"/>
  </c:chart>
  <c:txPr>
    <a:bodyPr/>
    <a:lstStyle/>
    <a:p>
      <a:pPr>
        <a:defRPr sz="900"/>
      </a:pPr>
      <a:endParaRPr lang="en-US"/>
    </a:p>
  </c:txPr>
  <c:printSettings>
    <c:headerFooter alignWithMargins="0"/>
    <c:pageMargins b="1" l="0.75000000000000133" r="0.75000000000000133" t="1" header="0.5" footer="0.5"/>
    <c:pageSetup orientation="portrait"/>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163284</xdr:rowOff>
    </xdr:from>
    <xdr:to>
      <xdr:col>12</xdr:col>
      <xdr:colOff>838200</xdr:colOff>
      <xdr:row>18</xdr:row>
      <xdr:rowOff>19049</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13</xdr:col>
      <xdr:colOff>19050</xdr:colOff>
      <xdr:row>9</xdr:row>
      <xdr:rowOff>66675</xdr:rowOff>
    </xdr:from>
    <xdr:to>
      <xdr:col>17</xdr:col>
      <xdr:colOff>3952875</xdr:colOff>
      <xdr:row>17</xdr:row>
      <xdr:rowOff>171450</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5" totalsRowShown="0" headerRowDxfId="10" headerRowBorderDxfId="9" tableBorderDxfId="8" totalsRowBorderDxfId="7">
  <autoFilter ref="A1:G25" xr:uid="{00000000-0009-0000-0100-000001000000}"/>
  <tableColumns count="7">
    <tableColumn id="7" xr3:uid="{00000000-0010-0000-3A01-000007000000}" name="N" dataDxfId="6"/>
    <tableColumn id="1" xr3:uid="{00000000-0010-0000-3A01-000001000000}" name="Column1" dataDxfId="5"/>
    <tableColumn id="2" xr3:uid="{00000000-0010-0000-3A01-000002000000}" name="Column2" dataDxfId="4"/>
    <tableColumn id="3" xr3:uid="{00000000-0010-0000-3A01-000003000000}" name="Indicator" dataDxfId="3"/>
    <tableColumn id="4" xr3:uid="{00000000-0010-0000-3A01-000004000000}" name="Definiție (din M&amp;E Plan)" dataDxfId="2"/>
    <tableColumn id="5" xr3:uid="{00000000-0010-0000-3A01-000005000000}" name="metode de măsurare" dataDxfId="1"/>
    <tableColumn id="6" xr3:uid="{00000000-0010-0000-3A01-000006000000}" name="Sursa de date" dataDxfId="0"/>
  </tableColumns>
  <tableStyleInfo name="TableStyleLight1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8" xr6:uid="{00000000-000C-0000-FFFF-FFFF2F000000}" r="C45" connectionId="0">
    <xmlCellPr id="1" xr6:uid="{00000000-0010-0000-2F00-000001000000}" uniqueName="1">
      <xmlPr mapId="43" xpath="/ns1:Root/ns1:F2/ns1:Environ__Community_TB_care__Cumulative_Budget__in___" xmlDataType="double"/>
    </xmlCellPr>
  </singleXmlCell>
  <singleXmlCell id="469" xr6:uid="{00000000-000C-0000-FFFF-FFFF30000000}" r="D45" connectionId="0">
    <xmlCellPr id="1" xr6:uid="{00000000-0010-0000-3000-000001000000}" uniqueName="1">
      <xmlPr mapId="43" xpath="/ns1:Root/ns1:F2/ns1:Environ__Community_TB_care__Cumulative_Expenditures__in___" xmlDataType="double"/>
    </xmlCellPr>
  </singleXmlCell>
  <singleXmlCell id="470" xr6:uid="{00000000-000C-0000-FFFF-FFFF31000000}" r="C46" connectionId="0">
    <xmlCellPr id="1" xr6:uid="{00000000-0010-0000-3100-000001000000}" uniqueName="1">
      <xmlPr mapId="43" xpath="/ns1:Root/ns1:F2/ns1:_Cumulative_Budget__in____1" xmlDataType="string"/>
    </xmlCellPr>
  </singleXmlCell>
  <singleXmlCell id="471" xr6:uid="{00000000-000C-0000-FFFF-FFFF32000000}" r="D46" connectionId="0">
    <xmlCellPr id="1" xr6:uid="{00000000-0010-0000-3200-000001000000}" uniqueName="1">
      <xmlPr mapId="43" xpath="/ns1:Root/ns1:F2/ns1:_Cumulative_Expenditures__in____1" xmlDataType="string"/>
    </xmlCellPr>
  </singleXmlCell>
  <singleXmlCell id="472" xr6:uid="{00000000-000C-0000-FFFF-FFFF33000000}" r="C47" connectionId="0">
    <xmlCellPr id="1" xr6:uid="{00000000-0010-0000-3300-000001000000}" uniqueName="1">
      <xmlPr mapId="43" xpath="/ns1:Root/ns1:F2/ns1:_Cumulative_Budget__in____2" xmlDataType="string"/>
    </xmlCellPr>
  </singleXmlCell>
  <singleXmlCell id="473" xr6:uid="{00000000-000C-0000-FFFF-FFFF34000000}" r="D47" connectionId="0">
    <xmlCellPr id="1" xr6:uid="{00000000-0010-0000-3400-000001000000}" uniqueName="1">
      <xmlPr mapId="43" xpath="/ns1:Root/ns1:F2/ns1:_Cumulative_Expenditures__in____2" xmlDataType="string"/>
    </xmlCellPr>
  </singleXmlCell>
  <singleXmlCell id="474" xr6:uid="{00000000-000C-0000-FFFF-FFFF35000000}" r="C48" connectionId="0">
    <xmlCellPr id="1" xr6:uid="{00000000-0010-0000-3500-000001000000}" uniqueName="1">
      <xmlPr mapId="43" xpath="/ns1:Root/ns1:F2/ns1:_Cumulative_Budget__in___" xmlDataType="string"/>
    </xmlCellPr>
  </singleXmlCell>
  <singleXmlCell id="475" xr6:uid="{00000000-000C-0000-FFFF-FFFF36000000}" r="D48" connectionId="0">
    <xmlCellPr id="1" xr6:uid="{00000000-0010-0000-3600-000001000000}" uniqueName="1">
      <xmlPr mapId="43" xpath="/ns1:Root/ns1:F2/ns1:_Cumulative_Expenditures__in___" xmlDataType="string"/>
    </xmlCellPr>
  </singleXmlCell>
  <singleXmlCell id="476" xr6:uid="{00000000-000C-0000-FFFF-FFFF37000000}" r="C54" connectionId="0">
    <xmlCellPr id="1" xr6:uid="{00000000-0010-0000-3700-000001000000}" uniqueName="1">
      <xmlPr mapId="43" xpath="/ns1:Root/ns1:F3/ns1:Disbursed_by_Global_Fund_Prior_to_reporting_period__in___" xmlDataType="double"/>
    </xmlCellPr>
  </singleXmlCell>
  <singleXmlCell id="477" xr6:uid="{00000000-000C-0000-FFFF-FFFF38000000}" r="D54" connectionId="0">
    <xmlCellPr id="1" xr6:uid="{00000000-0010-0000-3800-000001000000}" uniqueName="1">
      <xmlPr mapId="43" xpath="/ns1:Root/ns1:F3/ns1:Disbursed_by_Global_Fund_Reporting_period__in___" xmlDataType="double"/>
    </xmlCellPr>
  </singleXmlCell>
  <singleXmlCell id="478" xr6:uid="{00000000-000C-0000-FFFF-FFFF39000000}" r="C55"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5" connectionId="0">
    <xmlCellPr id="1" xr6:uid="{00000000-0010-0000-3A00-000001000000}" uniqueName="1">
      <xmlPr mapId="43" xpath="/ns1:Root/ns1:F3/ns1:PR_expenditure_and_disbursement_Reporting_period__in___" xmlDataType="double"/>
    </xmlCellPr>
  </singleXmlCell>
  <singleXmlCell id="480" xr6:uid="{00000000-000C-0000-FFFF-FFFF3B000000}" r="C56" connectionId="0">
    <xmlCellPr id="1" xr6:uid="{00000000-0010-0000-3B00-000001000000}" uniqueName="1">
      <xmlPr mapId="43" xpath="/ns1:Root/ns1:F3/ns1:Disbursed_to_SRs_Prior_to_reporting_period__in___" xmlDataType="double"/>
    </xmlCellPr>
  </singleXmlCell>
  <singleXmlCell id="481" xr6:uid="{00000000-000C-0000-FFFF-FFFF3C000000}" r="D56" connectionId="0">
    <xmlCellPr id="1" xr6:uid="{00000000-0010-0000-3C00-000001000000}" uniqueName="1">
      <xmlPr mapId="43" xpath="/ns1:Root/ns1:F3/ns1:Disbursed_to_SRs_Reporting_period__in___" xmlDataType="double"/>
    </xmlCellPr>
  </singleXmlCell>
  <singleXmlCell id="482" xr6:uid="{00000000-000C-0000-FFFF-FFFF3D000000}" r="C57" connectionId="0">
    <xmlCellPr id="1" xr6:uid="{00000000-0010-0000-3D00-000001000000}" uniqueName="1">
      <xmlPr mapId="43" xpath="/ns1:Root/ns1:F3/ns1:SR_expenditures_Prior_to_reporting_period__in___" xmlDataType="double"/>
    </xmlCellPr>
  </singleXmlCell>
  <singleXmlCell id="483" xr6:uid="{00000000-000C-0000-FFFF-FFFF3E000000}" r="D57" connectionId="0">
    <xmlCellPr id="1" xr6:uid="{00000000-0010-0000-3E00-000001000000}" uniqueName="1">
      <xmlPr mapId="43" xpath="/ns1:Root/ns1:F3/ns1:SR_expenditures_Reporting_period__in___" xmlDataType="double"/>
    </xmlCellPr>
  </singleXmlCell>
  <singleXmlCell id="484" xr6:uid="{00000000-000C-0000-FFFF-FFFF3F000000}" r="C64" connectionId="0">
    <xmlCellPr id="1" xr6:uid="{00000000-0010-0000-3F00-000001000000}" uniqueName="1">
      <xmlPr mapId="43" xpath="/ns1:Root/ns1:F4/ns1:Days_taken_to_submit_acceptable_PU_DR_to_LFA_Expected__days_" xmlDataType="double"/>
    </xmlCellPr>
  </singleXmlCell>
  <singleXmlCell id="485" xr6:uid="{00000000-000C-0000-FFFF-FFFF40000000}" r="D64" connectionId="0">
    <xmlCellPr id="1" xr6:uid="{00000000-0010-0000-4000-000001000000}" uniqueName="1">
      <xmlPr mapId="43" xpath="/ns1:Root/ns1:F4/ns1:Days_taken_to_submit_acceptable_PU_DR_to_LFA_Actual__days_" xmlDataType="double"/>
    </xmlCellPr>
  </singleXmlCell>
  <singleXmlCell id="486" xr6:uid="{00000000-000C-0000-FFFF-FFFF41000000}" r="C65" connectionId="0">
    <xmlCellPr id="1" xr6:uid="{00000000-0010-0000-4100-000001000000}" uniqueName="1">
      <xmlPr mapId="43" xpath="/ns1:Root/ns1:F4/ns1:Days_taken_for_disbursement_to_reach_PR_Expected__days_" xmlDataType="double"/>
    </xmlCellPr>
  </singleXmlCell>
  <singleXmlCell id="487" xr6:uid="{00000000-000C-0000-FFFF-FFFF42000000}" r="D65" connectionId="0">
    <xmlCellPr id="1" xr6:uid="{00000000-0010-0000-4200-000001000000}" uniqueName="1">
      <xmlPr mapId="43" xpath="/ns1:Root/ns1:F4/ns1:Days_taken_for_disbursement_to_reach_PR_Actual__days_" xmlDataType="double"/>
    </xmlCellPr>
  </singleXmlCell>
  <singleXmlCell id="488" xr6:uid="{00000000-000C-0000-FFFF-FFFF43000000}" r="C66" connectionId="0">
    <xmlCellPr id="1" xr6:uid="{00000000-0010-0000-4300-000001000000}" uniqueName="1">
      <xmlPr mapId="43" xpath="/ns1:Root/ns1:F4/ns1:Days_taken_for_disbursement_to_reach_SRs__Expected__days_" xmlDataType="double"/>
    </xmlCellPr>
  </singleXmlCell>
  <singleXmlCell id="489" xr6:uid="{00000000-000C-0000-FFFF-FFFF44000000}" r="D66" connectionId="0">
    <xmlCellPr id="1" xr6:uid="{00000000-0010-0000-4400-000001000000}" uniqueName="1">
      <xmlPr mapId="43" xpath="/ns1:Root/ns1:F4/ns1:Days_taken_for_disbursement_to_reach_SRs__Actual__days_" xmlDataType="double"/>
    </xmlCellPr>
  </singleXmlCell>
  <singleXmlCell id="490" xr6:uid="{00000000-000C-0000-FFFF-FFFF45000000}" r="B74" connectionId="0">
    <xmlCellPr id="1" xr6:uid="{00000000-0010-0000-4500-000001000000}" uniqueName="1">
      <xmlPr mapId="43" xpath="/ns1:Root/ns1:M1/ns1:Conditions_precedents__CPs__" xmlDataType="string"/>
    </xmlCellPr>
  </singleXmlCell>
  <singleXmlCell id="491" xr6:uid="{00000000-000C-0000-FFFF-FFFF46000000}" r="D74" connectionId="0">
    <xmlCellPr id="1" xr6:uid="{00000000-0010-0000-4600-000001000000}" uniqueName="1">
      <xmlPr mapId="43" xpath="/ns1:Root/ns1:M1/ns1:Conditions_precedents__CPs__Fulfilled" xmlDataType="double"/>
    </xmlCellPr>
  </singleXmlCell>
  <singleXmlCell id="492" xr6:uid="{00000000-000C-0000-FFFF-FFFF47000000}" r="E74"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4"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5" connectionId="0">
    <xmlCellPr id="1" xr6:uid="{00000000-0010-0000-4900-000001000000}" uniqueName="1">
      <xmlPr mapId="43" xpath="/ns1:Root/ns1:M1/ns1:Time_Bound_Actions__TBAs__" xmlDataType="string"/>
    </xmlCellPr>
  </singleXmlCell>
  <singleXmlCell id="495" xr6:uid="{00000000-000C-0000-FFFF-FFFF4A000000}" r="D75" connectionId="0">
    <xmlCellPr id="1" xr6:uid="{00000000-0010-0000-4A00-000001000000}" uniqueName="1">
      <xmlPr mapId="43" xpath="/ns1:Root/ns1:M1/ns1:Time_Bound_Actions__TBAs__Fulfilled" xmlDataType="double"/>
    </xmlCellPr>
  </singleXmlCell>
  <singleXmlCell id="496" xr6:uid="{00000000-000C-0000-FFFF-FFFF4B000000}" r="E75" connectionId="0">
    <xmlCellPr id="1" xr6:uid="{00000000-0010-0000-4B00-000001000000}" uniqueName="1">
      <xmlPr mapId="43" xpath="/ns1:Root/ns1:M1/ns1:Time_Bound_Actions__TBAs__Not_fulfilled__but_within_deadline" xmlDataType="string"/>
    </xmlCellPr>
  </singleXmlCell>
  <singleXmlCell id="497" xr6:uid="{00000000-000C-0000-FFFF-FFFF4C000000}" r="F75"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81" connectionId="0">
    <xmlCellPr id="1" xr6:uid="{00000000-0010-0000-4D00-000001000000}" uniqueName="1">
      <xmlPr mapId="43" xpath="/ns1:Root/ns1:M2/ns1:PMU_Planned" xmlDataType="double"/>
    </xmlCellPr>
  </singleXmlCell>
  <singleXmlCell id="499" xr6:uid="{00000000-000C-0000-FFFF-FFFF4E000000}" r="D81" connectionId="0">
    <xmlCellPr id="1" xr6:uid="{00000000-0010-0000-4E00-000001000000}" uniqueName="1">
      <xmlPr mapId="43" xpath="/ns1:Root/ns1:M2/ns1:PMU_Filled" xmlDataType="double"/>
    </xmlCellPr>
  </singleXmlCell>
  <singleXmlCell id="500" xr6:uid="{00000000-000C-0000-FFFF-FFFF4F000000}" r="C86" connectionId="0">
    <xmlCellPr id="1" xr6:uid="{00000000-0010-0000-4F00-000001000000}" uniqueName="1">
      <xmlPr mapId="43" xpath="/ns1:Root/ns1:M3/ns1:SRs_Identified" xmlDataType="double"/>
    </xmlCellPr>
  </singleXmlCell>
  <singleXmlCell id="501" xr6:uid="{00000000-000C-0000-FFFF-FFFF50000000}" r="D86" connectionId="0">
    <xmlCellPr id="1" xr6:uid="{00000000-0010-0000-5000-000001000000}" uniqueName="1">
      <xmlPr mapId="43" xpath="/ns1:Root/ns1:M3/ns1:SRs_Assessed" xmlDataType="double"/>
    </xmlCellPr>
  </singleXmlCell>
  <singleXmlCell id="502" xr6:uid="{00000000-000C-0000-FFFF-FFFF51000000}" r="E86" connectionId="0">
    <xmlCellPr id="1" xr6:uid="{00000000-0010-0000-5100-000001000000}" uniqueName="1">
      <xmlPr mapId="43" xpath="/ns1:Root/ns1:M3/ns1:SRs_Approved" xmlDataType="double"/>
    </xmlCellPr>
  </singleXmlCell>
  <singleXmlCell id="503" xr6:uid="{00000000-000C-0000-FFFF-FFFF52000000}" r="F86" connectionId="0">
    <xmlCellPr id="1" xr6:uid="{00000000-0010-0000-5200-000001000000}" uniqueName="1">
      <xmlPr mapId="43" xpath="/ns1:Root/ns1:M3/ns1:SRs_Signed" xmlDataType="double"/>
    </xmlCellPr>
  </singleXmlCell>
  <singleXmlCell id="504" xr6:uid="{00000000-000C-0000-FFFF-FFFF53000000}" r="G86" connectionId="0">
    <xmlCellPr id="1" xr6:uid="{00000000-0010-0000-5300-000001000000}" uniqueName="1">
      <xmlPr mapId="43" xpath="/ns1:Root/ns1:M3/ns1:SRs_Receiving_Funding" xmlDataType="double"/>
    </xmlCellPr>
  </singleXmlCell>
  <singleXmlCell id="506" xr6:uid="{00000000-000C-0000-FFFF-FFFF54000000}" r="C91" connectionId="0">
    <xmlCellPr id="1" xr6:uid="{00000000-0010-0000-5400-000001000000}" uniqueName="1">
      <xmlPr mapId="43" xpath="/ns1:Root/ns1:M4/ns1:SSR_to_SR__IR_____Expected" xmlDataType="string"/>
    </xmlCellPr>
  </singleXmlCell>
  <singleXmlCell id="507" xr6:uid="{00000000-000C-0000-FFFF-FFFF55000000}" r="D91" connectionId="0">
    <xmlCellPr id="1" xr6:uid="{00000000-0010-0000-5500-000001000000}" uniqueName="1">
      <xmlPr mapId="43" xpath="/ns1:Root/ns1:M4/ns1:SSR_to_SR__IR____Received" xmlDataType="string"/>
    </xmlCellPr>
  </singleXmlCell>
  <singleXmlCell id="509" xr6:uid="{00000000-000C-0000-FFFF-FFFF56000000}" r="C92" connectionId="0">
    <xmlCellPr id="1" xr6:uid="{00000000-0010-0000-5600-000001000000}" uniqueName="1">
      <xmlPr mapId="43" xpath="/ns1:Root/ns1:M4/ns1:SRs__IRs__to_PR____Expected" xmlDataType="double"/>
    </xmlCellPr>
  </singleXmlCell>
  <singleXmlCell id="510" xr6:uid="{00000000-000C-0000-FFFF-FFFF57000000}" r="D92" connectionId="0">
    <xmlCellPr id="1" xr6:uid="{00000000-0010-0000-5700-000001000000}" uniqueName="1">
      <xmlPr mapId="43" xpath="/ns1:Root/ns1:M4/ns1:SRs__IRs__to_PR___Received" xmlDataType="double"/>
    </xmlCellPr>
  </singleXmlCell>
  <singleXmlCell id="511" xr6:uid="{00000000-000C-0000-FFFF-FFFF58000000}" r="C97" connectionId="0">
    <xmlCellPr id="1" xr6:uid="{00000000-0010-0000-5800-000001000000}" uniqueName="1">
      <xmlPr mapId="43" xpath="/ns1:Root/ns1:M5/ns1:Budget_Approved__P1" xmlDataType="double"/>
    </xmlCellPr>
  </singleXmlCell>
  <singleXmlCell id="512" xr6:uid="{00000000-000C-0000-FFFF-FFFF59000000}" r="D97" connectionId="0">
    <xmlCellPr id="1" xr6:uid="{00000000-0010-0000-5900-000001000000}" uniqueName="1">
      <xmlPr mapId="43" xpath="/ns1:Root/ns1:M5/ns1:Budget_Approved__P2" xmlDataType="double"/>
    </xmlCellPr>
  </singleXmlCell>
  <singleXmlCell id="513" xr6:uid="{00000000-000C-0000-FFFF-FFFF5A000000}" r="E97" connectionId="0">
    <xmlCellPr id="1" xr6:uid="{00000000-0010-0000-5A00-000001000000}" uniqueName="1">
      <xmlPr mapId="43" xpath="/ns1:Root/ns1:M5/ns1:Budget_Approved__P3" xmlDataType="double"/>
    </xmlCellPr>
  </singleXmlCell>
  <singleXmlCell id="514" xr6:uid="{00000000-000C-0000-FFFF-FFFF5B000000}" r="F97" connectionId="0">
    <xmlCellPr id="1" xr6:uid="{00000000-0010-0000-5B00-000001000000}" uniqueName="1">
      <xmlPr mapId="43" xpath="/ns1:Root/ns1:M5/ns1:Budget_Approved__P4" xmlDataType="double"/>
    </xmlCellPr>
  </singleXmlCell>
  <singleXmlCell id="515" xr6:uid="{00000000-000C-0000-FFFF-FFFF5C000000}" r="G97" connectionId="0">
    <xmlCellPr id="1" xr6:uid="{00000000-0010-0000-5C00-000001000000}" uniqueName="1">
      <xmlPr mapId="43" xpath="/ns1:Root/ns1:M5/ns1:Budget_Approved__P5" xmlDataType="double"/>
    </xmlCellPr>
  </singleXmlCell>
  <singleXmlCell id="516" xr6:uid="{00000000-000C-0000-FFFF-FFFF5D000000}" r="H97" connectionId="0">
    <xmlCellPr id="1" xr6:uid="{00000000-0010-0000-5D00-000001000000}" uniqueName="1">
      <xmlPr mapId="43" xpath="/ns1:Root/ns1:M5/ns1:Budget_Approved__P6" xmlDataType="double"/>
    </xmlCellPr>
  </singleXmlCell>
  <singleXmlCell id="517" xr6:uid="{00000000-000C-0000-FFFF-FFFF5E000000}" r="I97" connectionId="0">
    <xmlCellPr id="1" xr6:uid="{00000000-0010-0000-5E00-000001000000}" uniqueName="1">
      <xmlPr mapId="43" xpath="/ns1:Root/ns1:M5/ns1:Budget_Approved__P7" xmlDataType="double"/>
    </xmlCellPr>
  </singleXmlCell>
  <singleXmlCell id="518" xr6:uid="{00000000-000C-0000-FFFF-FFFF5F000000}" r="J97" connectionId="0">
    <xmlCellPr id="1" xr6:uid="{00000000-0010-0000-5F00-000001000000}" uniqueName="1">
      <xmlPr mapId="43" xpath="/ns1:Root/ns1:M5/ns1:Budget_Approved__P8" xmlDataType="double"/>
    </xmlCellPr>
  </singleXmlCell>
  <singleXmlCell id="519" xr6:uid="{00000000-000C-0000-FFFF-FFFF60000000}" r="K97" connectionId="0">
    <xmlCellPr id="1" xr6:uid="{00000000-0010-0000-6000-000001000000}" uniqueName="1">
      <xmlPr mapId="43" xpath="/ns1:Root/ns1:M5/ns1:Budget_Approved__P9" xmlDataType="double"/>
    </xmlCellPr>
  </singleXmlCell>
  <singleXmlCell id="520" xr6:uid="{00000000-000C-0000-FFFF-FFFF61000000}" r="L97" connectionId="0">
    <xmlCellPr id="1" xr6:uid="{00000000-0010-0000-6100-000001000000}" uniqueName="1">
      <xmlPr mapId="43" xpath="/ns1:Root/ns1:M5/ns1:Budget_Approved__P10" xmlDataType="double"/>
    </xmlCellPr>
  </singleXmlCell>
  <singleXmlCell id="521" xr6:uid="{00000000-000C-0000-FFFF-FFFF62000000}" r="M97" connectionId="0">
    <xmlCellPr id="1" xr6:uid="{00000000-0010-0000-6200-000001000000}" uniqueName="1">
      <xmlPr mapId="43" xpath="/ns1:Root/ns1:M5/ns1:Budget_Approved__P11" xmlDataType="double"/>
    </xmlCellPr>
  </singleXmlCell>
  <singleXmlCell id="522" xr6:uid="{00000000-000C-0000-FFFF-FFFF63000000}" r="N97" connectionId="0">
    <xmlCellPr id="1" xr6:uid="{00000000-0010-0000-6300-000001000000}" uniqueName="1">
      <xmlPr mapId="43" xpath="/ns1:Root/ns1:M5/ns1:Budget_Approved__P12" xmlDataType="double"/>
    </xmlCellPr>
  </singleXmlCell>
  <singleXmlCell id="523" xr6:uid="{00000000-000C-0000-FFFF-FFFF64000000}" r="C98" connectionId="0">
    <xmlCellPr id="1" xr6:uid="{00000000-0010-0000-6400-000001000000}" uniqueName="1">
      <xmlPr mapId="43" xpath="/ns1:Root/ns1:M5/ns1:Obligations_P1" xmlDataType="double"/>
    </xmlCellPr>
  </singleXmlCell>
  <singleXmlCell id="524" xr6:uid="{00000000-000C-0000-FFFF-FFFF65000000}" r="D98" connectionId="0">
    <xmlCellPr id="1" xr6:uid="{00000000-0010-0000-6500-000001000000}" uniqueName="1">
      <xmlPr mapId="43" xpath="/ns1:Root/ns1:M5/ns1:Obligations_P2" xmlDataType="double"/>
    </xmlCellPr>
  </singleXmlCell>
  <singleXmlCell id="525" xr6:uid="{00000000-000C-0000-FFFF-FFFF66000000}" r="E98" connectionId="0">
    <xmlCellPr id="1" xr6:uid="{00000000-0010-0000-6600-000001000000}" uniqueName="1">
      <xmlPr mapId="43" xpath="/ns1:Root/ns1:M5/ns1:Obligations_P3" xmlDataType="double"/>
    </xmlCellPr>
  </singleXmlCell>
  <singleXmlCell id="526" xr6:uid="{00000000-000C-0000-FFFF-FFFF67000000}" r="F98" connectionId="0">
    <xmlCellPr id="1" xr6:uid="{00000000-0010-0000-6700-000001000000}" uniqueName="1">
      <xmlPr mapId="43" xpath="/ns1:Root/ns1:M5/ns1:Obligations_P4" xmlDataType="double"/>
    </xmlCellPr>
  </singleXmlCell>
  <singleXmlCell id="527" xr6:uid="{00000000-000C-0000-FFFF-FFFF68000000}" r="G98" connectionId="0">
    <xmlCellPr id="1" xr6:uid="{00000000-0010-0000-6800-000001000000}" uniqueName="1">
      <xmlPr mapId="43" xpath="/ns1:Root/ns1:M5/ns1:Obligations_P5" xmlDataType="double"/>
    </xmlCellPr>
  </singleXmlCell>
  <singleXmlCell id="528" xr6:uid="{00000000-000C-0000-FFFF-FFFF69000000}" r="H98" connectionId="0">
    <xmlCellPr id="1" xr6:uid="{00000000-0010-0000-6900-000001000000}" uniqueName="1">
      <xmlPr mapId="43" xpath="/ns1:Root/ns1:M5/ns1:Obligations_P6" xmlDataType="double"/>
    </xmlCellPr>
  </singleXmlCell>
  <singleXmlCell id="529" xr6:uid="{00000000-000C-0000-FFFF-FFFF6A000000}" r="I98" connectionId="0">
    <xmlCellPr id="1" xr6:uid="{00000000-0010-0000-6A00-000001000000}" uniqueName="1">
      <xmlPr mapId="43" xpath="/ns1:Root/ns1:M5/ns1:Obligations_P7" xmlDataType="double"/>
    </xmlCellPr>
  </singleXmlCell>
  <singleXmlCell id="530" xr6:uid="{00000000-000C-0000-FFFF-FFFF6B000000}" r="J98" connectionId="0">
    <xmlCellPr id="1" xr6:uid="{00000000-0010-0000-6B00-000001000000}" uniqueName="1">
      <xmlPr mapId="43" xpath="/ns1:Root/ns1:M5/ns1:Obligations_P8" xmlDataType="double"/>
    </xmlCellPr>
  </singleXmlCell>
  <singleXmlCell id="531" xr6:uid="{00000000-000C-0000-FFFF-FFFF6C000000}" r="K98" connectionId="0">
    <xmlCellPr id="1" xr6:uid="{00000000-0010-0000-6C00-000001000000}" uniqueName="1">
      <xmlPr mapId="43" xpath="/ns1:Root/ns1:M5/ns1:Obligations_P9" xmlDataType="double"/>
    </xmlCellPr>
  </singleXmlCell>
  <singleXmlCell id="532" xr6:uid="{00000000-000C-0000-FFFF-FFFF6D000000}" r="L98" connectionId="0">
    <xmlCellPr id="1" xr6:uid="{00000000-0010-0000-6D00-000001000000}" uniqueName="1">
      <xmlPr mapId="43" xpath="/ns1:Root/ns1:M5/ns1:Obligations_P10" xmlDataType="double"/>
    </xmlCellPr>
  </singleXmlCell>
  <singleXmlCell id="533" xr6:uid="{00000000-000C-0000-FFFF-FFFF6E000000}" r="M98" connectionId="0">
    <xmlCellPr id="1" xr6:uid="{00000000-0010-0000-6E00-000001000000}" uniqueName="1">
      <xmlPr mapId="43" xpath="/ns1:Root/ns1:M5/ns1:Obligations_P11" xmlDataType="double"/>
    </xmlCellPr>
  </singleXmlCell>
  <singleXmlCell id="534" xr6:uid="{00000000-000C-0000-FFFF-FFFF6F000000}" r="N98" connectionId="0">
    <xmlCellPr id="1" xr6:uid="{00000000-0010-0000-6F00-000001000000}" uniqueName="1">
      <xmlPr mapId="43" xpath="/ns1:Root/ns1:M5/ns1:Obligations_P12" xmlDataType="double"/>
    </xmlCellPr>
  </singleXmlCell>
  <singleXmlCell id="535" xr6:uid="{00000000-000C-0000-FFFF-FFFF70000000}" r="C99" connectionId="0">
    <xmlCellPr id="1" xr6:uid="{00000000-0010-0000-7000-000001000000}" uniqueName="1">
      <xmlPr mapId="43" xpath="/ns1:Root/ns1:M5/ns1:Expenditures_P1" xmlDataType="double"/>
    </xmlCellPr>
  </singleXmlCell>
  <singleXmlCell id="536" xr6:uid="{00000000-000C-0000-FFFF-FFFF71000000}" r="D99" connectionId="0">
    <xmlCellPr id="1" xr6:uid="{00000000-0010-0000-7100-000001000000}" uniqueName="1">
      <xmlPr mapId="43" xpath="/ns1:Root/ns1:M5/ns1:Expenditures_P2" xmlDataType="double"/>
    </xmlCellPr>
  </singleXmlCell>
  <singleXmlCell id="537" xr6:uid="{00000000-000C-0000-FFFF-FFFF72000000}" r="E99" connectionId="0">
    <xmlCellPr id="1" xr6:uid="{00000000-0010-0000-7200-000001000000}" uniqueName="1">
      <xmlPr mapId="43" xpath="/ns1:Root/ns1:M5/ns1:Expenditures_P3" xmlDataType="double"/>
    </xmlCellPr>
  </singleXmlCell>
  <singleXmlCell id="538" xr6:uid="{00000000-000C-0000-FFFF-FFFF73000000}" r="F99" connectionId="0">
    <xmlCellPr id="1" xr6:uid="{00000000-0010-0000-7300-000001000000}" uniqueName="1">
      <xmlPr mapId="43" xpath="/ns1:Root/ns1:M5/ns1:Expenditures_P4" xmlDataType="double"/>
    </xmlCellPr>
  </singleXmlCell>
  <singleXmlCell id="539" xr6:uid="{00000000-000C-0000-FFFF-FFFF74000000}" r="G99" connectionId="0">
    <xmlCellPr id="1" xr6:uid="{00000000-0010-0000-7400-000001000000}" uniqueName="1">
      <xmlPr mapId="43" xpath="/ns1:Root/ns1:M5/ns1:Expenditures_P5" xmlDataType="double"/>
    </xmlCellPr>
  </singleXmlCell>
  <singleXmlCell id="540" xr6:uid="{00000000-000C-0000-FFFF-FFFF75000000}" r="H99" connectionId="0">
    <xmlCellPr id="1" xr6:uid="{00000000-0010-0000-7500-000001000000}" uniqueName="1">
      <xmlPr mapId="43" xpath="/ns1:Root/ns1:M5/ns1:Expenditures_P6" xmlDataType="double"/>
    </xmlCellPr>
  </singleXmlCell>
  <singleXmlCell id="541" xr6:uid="{00000000-000C-0000-FFFF-FFFF76000000}" r="I99" connectionId="0">
    <xmlCellPr id="1" xr6:uid="{00000000-0010-0000-7600-000001000000}" uniqueName="1">
      <xmlPr mapId="43" xpath="/ns1:Root/ns1:M5/ns1:Expenditures_P7" xmlDataType="double"/>
    </xmlCellPr>
  </singleXmlCell>
  <singleXmlCell id="542" xr6:uid="{00000000-000C-0000-FFFF-FFFF77000000}" r="J99" connectionId="0">
    <xmlCellPr id="1" xr6:uid="{00000000-0010-0000-7700-000001000000}" uniqueName="1">
      <xmlPr mapId="43" xpath="/ns1:Root/ns1:M5/ns1:Expenditures_P8" xmlDataType="double"/>
    </xmlCellPr>
  </singleXmlCell>
  <singleXmlCell id="543" xr6:uid="{00000000-000C-0000-FFFF-FFFF78000000}" r="K99" connectionId="0">
    <xmlCellPr id="1" xr6:uid="{00000000-0010-0000-7800-000001000000}" uniqueName="1">
      <xmlPr mapId="43" xpath="/ns1:Root/ns1:M5/ns1:Expenditures_P9" xmlDataType="double"/>
    </xmlCellPr>
  </singleXmlCell>
  <singleXmlCell id="544" xr6:uid="{00000000-000C-0000-FFFF-FFFF79000000}" r="L99" connectionId="0">
    <xmlCellPr id="1" xr6:uid="{00000000-0010-0000-7900-000001000000}" uniqueName="1">
      <xmlPr mapId="43" xpath="/ns1:Root/ns1:M5/ns1:Expenditures_P10" xmlDataType="double"/>
    </xmlCellPr>
  </singleXmlCell>
  <singleXmlCell id="545" xr6:uid="{00000000-000C-0000-FFFF-FFFF7A000000}" r="M99" connectionId="0">
    <xmlCellPr id="1" xr6:uid="{00000000-0010-0000-7A00-000001000000}" uniqueName="1">
      <xmlPr mapId="43" xpath="/ns1:Root/ns1:M5/ns1:Expenditures_P11" xmlDataType="double"/>
    </xmlCellPr>
  </singleXmlCell>
  <singleXmlCell id="546" xr6:uid="{00000000-000C-0000-FFFF-FFFF7B000000}" r="N99" connectionId="0">
    <xmlCellPr id="1" xr6:uid="{00000000-0010-0000-7B00-000001000000}" uniqueName="1">
      <xmlPr mapId="43" xpath="/ns1:Root/ns1:M5/ns1:Expenditures_P12" xmlDataType="double"/>
    </xmlCellPr>
  </singleXmlCell>
  <singleXmlCell id="547" xr6:uid="{00000000-000C-0000-FFFF-FFFF7C000000}" r="C110" connectionId="0">
    <xmlCellPr id="1" xr6:uid="{00000000-0010-0000-7C00-000001000000}" uniqueName="1">
      <xmlPr mapId="43" xpath="/ns1:Root/ns1:M6/ns1:HIV___AIDS_Products" xmlDataType="string"/>
    </xmlCellPr>
  </singleXmlCell>
  <singleXmlCell id="548" xr6:uid="{00000000-000C-0000-FFFF-FFFF7D000000}" r="D110"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10" connectionId="0">
    <xmlCellPr id="1" xr6:uid="{00000000-0010-0000-7E00-000001000000}" uniqueName="1">
      <xmlPr mapId="43" xpath="/ns1:Root/ns1:M6/ns1:HIV___AIDS__3__Total_patients_in_treatment" xmlDataType="double"/>
    </xmlCellPr>
  </singleXmlCell>
  <singleXmlCell id="550" xr6:uid="{00000000-000C-0000-FFFF-FFFF7F000000}" r="H110"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10"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11" connectionId="0">
    <xmlCellPr id="1" xr6:uid="{00000000-0010-0000-8100-000001000000}" uniqueName="1">
      <xmlPr mapId="43" xpath="/ns1:Root/ns1:M6/ns1:_Products_1" xmlDataType="string"/>
    </xmlCellPr>
  </singleXmlCell>
  <singleXmlCell id="553" xr6:uid="{00000000-000C-0000-FFFF-FFFF82000000}" r="D111"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11" connectionId="0">
    <xmlCellPr id="1" xr6:uid="{00000000-0010-0000-8300-000001000000}" uniqueName="1">
      <xmlPr mapId="43" xpath="/ns1:Root/ns1:M6/ns1:__3__Total_patients_in_treatment_1" xmlDataType="double"/>
    </xmlCellPr>
  </singleXmlCell>
  <singleXmlCell id="555" xr6:uid="{00000000-000C-0000-FFFF-FFFF84000000}" r="H111"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11"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2" connectionId="0">
    <xmlCellPr id="1" xr6:uid="{00000000-0010-0000-8600-000001000000}" uniqueName="1">
      <xmlPr mapId="43" xpath="/ns1:Root/ns1:M6/ns1:_Products_2" xmlDataType="string"/>
    </xmlCellPr>
  </singleXmlCell>
  <singleXmlCell id="558" xr6:uid="{00000000-000C-0000-FFFF-FFFF87000000}" r="D112"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2" connectionId="0">
    <xmlCellPr id="1" xr6:uid="{00000000-0010-0000-8800-000001000000}" uniqueName="1">
      <xmlPr mapId="43" xpath="/ns1:Root/ns1:M6/ns1:__3__Total_patients_in_treatment_2" xmlDataType="double"/>
    </xmlCellPr>
  </singleXmlCell>
  <singleXmlCell id="560" xr6:uid="{00000000-000C-0000-FFFF-FFFF89000000}" r="H112"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2"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3" connectionId="0">
    <xmlCellPr id="1" xr6:uid="{00000000-0010-0000-8B00-000001000000}" uniqueName="1">
      <xmlPr mapId="43" xpath="/ns1:Root/ns1:M6/ns1:_Products" xmlDataType="string"/>
    </xmlCellPr>
  </singleXmlCell>
  <singleXmlCell id="563" xr6:uid="{00000000-000C-0000-FFFF-FFFF8C000000}" r="D113"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3" connectionId="0">
    <xmlCellPr id="1" xr6:uid="{00000000-0010-0000-8D00-000001000000}" uniqueName="1">
      <xmlPr mapId="43" xpath="/ns1:Root/ns1:M6/ns1:__3__Total_patients_in_treatment" xmlDataType="double"/>
    </xmlCellPr>
  </singleXmlCell>
  <singleXmlCell id="565" xr6:uid="{00000000-000C-0000-FFFF-FFFF8E000000}" r="H113"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3"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9" connectionId="0">
    <xmlCellPr id="1" xr6:uid="{00000000-0010-0000-9000-000001000000}" uniqueName="1">
      <xmlPr mapId="43" xpath="/ns1:Root/ns1:Prog/ns1:Target_P1_1" xmlDataType="double"/>
    </xmlCellPr>
  </singleXmlCell>
  <singleXmlCell id="568" xr6:uid="{00000000-000C-0000-FFFF-FFFF91000000}" r="I119" connectionId="0">
    <xmlCellPr id="1" xr6:uid="{00000000-0010-0000-9100-000001000000}" uniqueName="1">
      <xmlPr mapId="43" xpath="/ns1:Root/ns1:Prog/ns1:Target_P2_1" xmlDataType="double"/>
    </xmlCellPr>
  </singleXmlCell>
  <singleXmlCell id="569" xr6:uid="{00000000-000C-0000-FFFF-FFFF92000000}" r="J119" connectionId="0">
    <xmlCellPr id="1" xr6:uid="{00000000-0010-0000-9200-000001000000}" uniqueName="1">
      <xmlPr mapId="43" xpath="/ns1:Root/ns1:Prog/ns1:Target_P3_1" xmlDataType="double"/>
    </xmlCellPr>
  </singleXmlCell>
  <singleXmlCell id="570" xr6:uid="{00000000-000C-0000-FFFF-FFFF93000000}" r="K119" connectionId="0">
    <xmlCellPr id="1" xr6:uid="{00000000-0010-0000-9300-000001000000}" uniqueName="1">
      <xmlPr mapId="43" xpath="/ns1:Root/ns1:Prog/ns1:Target_P4_1" xmlDataType="double"/>
    </xmlCellPr>
  </singleXmlCell>
  <singleXmlCell id="571" xr6:uid="{00000000-000C-0000-FFFF-FFFF94000000}" r="L119" connectionId="0">
    <xmlCellPr id="1" xr6:uid="{00000000-0010-0000-9400-000001000000}" uniqueName="1">
      <xmlPr mapId="43" xpath="/ns1:Root/ns1:Prog/ns1:Target_P5_1" xmlDataType="double"/>
    </xmlCellPr>
  </singleXmlCell>
  <singleXmlCell id="572" xr6:uid="{00000000-000C-0000-FFFF-FFFF95000000}" r="M119" connectionId="0">
    <xmlCellPr id="1" xr6:uid="{00000000-0010-0000-9500-000001000000}" uniqueName="1">
      <xmlPr mapId="43" xpath="/ns1:Root/ns1:Prog/ns1:Target_P6_1" xmlDataType="double"/>
    </xmlCellPr>
  </singleXmlCell>
  <singleXmlCell id="573" xr6:uid="{00000000-000C-0000-FFFF-FFFF96000000}" r="N119" connectionId="0">
    <xmlCellPr id="1" xr6:uid="{00000000-0010-0000-9600-000001000000}" uniqueName="1">
      <xmlPr mapId="43" xpath="/ns1:Root/ns1:Prog/ns1:Target_P7_1" xmlDataType="double"/>
    </xmlCellPr>
  </singleXmlCell>
  <singleXmlCell id="574" xr6:uid="{00000000-000C-0000-FFFF-FFFF97000000}" r="O119" connectionId="0">
    <xmlCellPr id="1" xr6:uid="{00000000-0010-0000-9700-000001000000}" uniqueName="1">
      <xmlPr mapId="43" xpath="/ns1:Root/ns1:Prog/ns1:Target_P8_1" xmlDataType="double"/>
    </xmlCellPr>
  </singleXmlCell>
  <singleXmlCell id="575" xr6:uid="{00000000-000C-0000-FFFF-FFFF98000000}" r="P119" connectionId="0">
    <xmlCellPr id="1" xr6:uid="{00000000-0010-0000-9800-000001000000}" uniqueName="1">
      <xmlPr mapId="43" xpath="/ns1:Root/ns1:Prog/ns1:Target_P9_1" xmlDataType="double"/>
    </xmlCellPr>
  </singleXmlCell>
  <singleXmlCell id="576" xr6:uid="{00000000-000C-0000-FFFF-FFFF99000000}" r="Q119" connectionId="0">
    <xmlCellPr id="1" xr6:uid="{00000000-0010-0000-9900-000001000000}" uniqueName="1">
      <xmlPr mapId="43" xpath="/ns1:Root/ns1:Prog/ns1:Target_P10_1" xmlDataType="double"/>
    </xmlCellPr>
  </singleXmlCell>
  <singleXmlCell id="577" xr6:uid="{00000000-000C-0000-FFFF-FFFF9A000000}" r="R119" connectionId="0">
    <xmlCellPr id="1" xr6:uid="{00000000-0010-0000-9A00-000001000000}" uniqueName="1">
      <xmlPr mapId="43" xpath="/ns1:Root/ns1:Prog/ns1:Target_P11_1" xmlDataType="double"/>
    </xmlCellPr>
  </singleXmlCell>
  <singleXmlCell id="578" xr6:uid="{00000000-000C-0000-FFFF-FFFF9B000000}" r="S119" connectionId="0">
    <xmlCellPr id="1" xr6:uid="{00000000-0010-0000-9B00-000001000000}" uniqueName="1">
      <xmlPr mapId="43" xpath="/ns1:Root/ns1:Prog/ns1:Target_P12_1" xmlDataType="double"/>
    </xmlCellPr>
  </singleXmlCell>
  <singleXmlCell id="579" xr6:uid="{00000000-000C-0000-FFFF-FFFF9C000000}" r="H120" connectionId="0">
    <xmlCellPr id="1" xr6:uid="{00000000-0010-0000-9C00-000001000000}" uniqueName="1">
      <xmlPr mapId="43" xpath="/ns1:Root/ns1:Prog/ns1:Achieved__P1_1" xmlDataType="double"/>
    </xmlCellPr>
  </singleXmlCell>
  <singleXmlCell id="580" xr6:uid="{00000000-000C-0000-FFFF-FFFF9D000000}" r="I120" connectionId="0">
    <xmlCellPr id="1" xr6:uid="{00000000-0010-0000-9D00-000001000000}" uniqueName="1">
      <xmlPr mapId="43" xpath="/ns1:Root/ns1:Prog/ns1:Achieved__P2_1" xmlDataType="double"/>
    </xmlCellPr>
  </singleXmlCell>
  <singleXmlCell id="581" xr6:uid="{00000000-000C-0000-FFFF-FFFF9E000000}" r="J120" connectionId="0">
    <xmlCellPr id="1" xr6:uid="{00000000-0010-0000-9E00-000001000000}" uniqueName="1">
      <xmlPr mapId="43" xpath="/ns1:Root/ns1:Prog/ns1:Achieved__P3_1" xmlDataType="double"/>
    </xmlCellPr>
  </singleXmlCell>
  <singleXmlCell id="582" xr6:uid="{00000000-000C-0000-FFFF-FFFF9F000000}" r="K120" connectionId="0">
    <xmlCellPr id="1" xr6:uid="{00000000-0010-0000-9F00-000001000000}" uniqueName="1">
      <xmlPr mapId="43" xpath="/ns1:Root/ns1:Prog/ns1:Achieved__P4_1" xmlDataType="double"/>
    </xmlCellPr>
  </singleXmlCell>
  <singleXmlCell id="583" xr6:uid="{00000000-000C-0000-FFFF-FFFFA0000000}" r="L120" connectionId="0">
    <xmlCellPr id="1" xr6:uid="{00000000-0010-0000-A000-000001000000}" uniqueName="1">
      <xmlPr mapId="43" xpath="/ns1:Root/ns1:Prog/ns1:Achieved__P5_1" xmlDataType="string"/>
    </xmlCellPr>
  </singleXmlCell>
  <singleXmlCell id="584" xr6:uid="{00000000-000C-0000-FFFF-FFFFA1000000}" r="M120" connectionId="0">
    <xmlCellPr id="1" xr6:uid="{00000000-0010-0000-A100-000001000000}" uniqueName="1">
      <xmlPr mapId="43" xpath="/ns1:Root/ns1:Prog/ns1:Achieved__P6_1" xmlDataType="string"/>
    </xmlCellPr>
  </singleXmlCell>
  <singleXmlCell id="585" xr6:uid="{00000000-000C-0000-FFFF-FFFFA2000000}" r="N120" connectionId="0">
    <xmlCellPr id="1" xr6:uid="{00000000-0010-0000-A200-000001000000}" uniqueName="1">
      <xmlPr mapId="43" xpath="/ns1:Root/ns1:Prog/ns1:Achieved__P7_1" xmlDataType="string"/>
    </xmlCellPr>
  </singleXmlCell>
  <singleXmlCell id="586" xr6:uid="{00000000-000C-0000-FFFF-FFFFA3000000}" r="O120" connectionId="0">
    <xmlCellPr id="1" xr6:uid="{00000000-0010-0000-A300-000001000000}" uniqueName="1">
      <xmlPr mapId="43" xpath="/ns1:Root/ns1:Prog/ns1:Achieved__P8_1" xmlDataType="string"/>
    </xmlCellPr>
  </singleXmlCell>
  <singleXmlCell id="587" xr6:uid="{00000000-000C-0000-FFFF-FFFFA4000000}" r="P120" connectionId="0">
    <xmlCellPr id="1" xr6:uid="{00000000-0010-0000-A400-000001000000}" uniqueName="1">
      <xmlPr mapId="43" xpath="/ns1:Root/ns1:Prog/ns1:Achieved__P9_1" xmlDataType="string"/>
    </xmlCellPr>
  </singleXmlCell>
  <singleXmlCell id="588" xr6:uid="{00000000-000C-0000-FFFF-FFFFA5000000}" r="Q120" connectionId="0">
    <xmlCellPr id="1" xr6:uid="{00000000-0010-0000-A500-000001000000}" uniqueName="1">
      <xmlPr mapId="43" xpath="/ns1:Root/ns1:Prog/ns1:Achieved__P10_1" xmlDataType="string"/>
    </xmlCellPr>
  </singleXmlCell>
  <singleXmlCell id="589" xr6:uid="{00000000-000C-0000-FFFF-FFFFA6000000}" r="R120" connectionId="0">
    <xmlCellPr id="1" xr6:uid="{00000000-0010-0000-A600-000001000000}" uniqueName="1">
      <xmlPr mapId="43" xpath="/ns1:Root/ns1:Prog/ns1:Achieved__P11_1" xmlDataType="string"/>
    </xmlCellPr>
  </singleXmlCell>
  <singleXmlCell id="590" xr6:uid="{00000000-000C-0000-FFFF-FFFFA7000000}" r="S120" connectionId="0">
    <xmlCellPr id="1" xr6:uid="{00000000-0010-0000-A700-000001000000}" uniqueName="1">
      <xmlPr mapId="43" xpath="/ns1:Root/ns1:Prog/ns1:Achieved__P12_1" xmlDataType="string"/>
    </xmlCellPr>
  </singleXmlCell>
  <singleXmlCell id="599" xr6:uid="{00000000-000C-0000-FFFF-FFFFA8000000}" r="Q121" connectionId="0">
    <xmlCellPr id="1" xr6:uid="{00000000-0010-0000-A800-000001000000}" uniqueName="1">
      <xmlPr mapId="43" xpath="/ns1:Root/ns1:Prog/ns1:Target_P10_2" xmlDataType="double"/>
    </xmlCellPr>
  </singleXmlCell>
  <singleXmlCell id="600" xr6:uid="{00000000-000C-0000-FFFF-FFFFA9000000}" r="R121" connectionId="0">
    <xmlCellPr id="1" xr6:uid="{00000000-0010-0000-A900-000001000000}" uniqueName="1">
      <xmlPr mapId="43" xpath="/ns1:Root/ns1:Prog/ns1:Target_P11_2" xmlDataType="double"/>
    </xmlCellPr>
  </singleXmlCell>
  <singleXmlCell id="601" xr6:uid="{00000000-000C-0000-FFFF-FFFFAA000000}" r="S121" connectionId="0">
    <xmlCellPr id="1" xr6:uid="{00000000-0010-0000-AA00-000001000000}" uniqueName="1">
      <xmlPr mapId="43" xpath="/ns1:Root/ns1:Prog/ns1:Target_P12_2" xmlDataType="double"/>
    </xmlCellPr>
  </singleXmlCell>
  <singleXmlCell id="611" xr6:uid="{00000000-000C-0000-FFFF-FFFFAB000000}" r="Q122" connectionId="0">
    <xmlCellPr id="1" xr6:uid="{00000000-0010-0000-AB00-000001000000}" uniqueName="1">
      <xmlPr mapId="43" xpath="/ns1:Root/ns1:Prog/ns1:Achieved__P10_2" xmlDataType="string"/>
    </xmlCellPr>
  </singleXmlCell>
  <singleXmlCell id="612" xr6:uid="{00000000-000C-0000-FFFF-FFFFAC000000}" r="R122" connectionId="0">
    <xmlCellPr id="1" xr6:uid="{00000000-0010-0000-AC00-000001000000}" uniqueName="1">
      <xmlPr mapId="43" xpath="/ns1:Root/ns1:Prog/ns1:Achieved__P11_2" xmlDataType="string"/>
    </xmlCellPr>
  </singleXmlCell>
  <singleXmlCell id="613" xr6:uid="{00000000-000C-0000-FFFF-FFFFAD000000}" r="S122" connectionId="0">
    <xmlCellPr id="1" xr6:uid="{00000000-0010-0000-AD00-000001000000}" uniqueName="1">
      <xmlPr mapId="43" xpath="/ns1:Root/ns1:Prog/ns1:Achieved__P12_2" xmlDataType="string"/>
    </xmlCellPr>
  </singleXmlCell>
  <singleXmlCell id="662" xr6:uid="{00000000-000C-0000-FFFF-FFFFAE000000}" r="H125" connectionId="0">
    <xmlCellPr id="1" xr6:uid="{00000000-0010-0000-AE00-000001000000}" uniqueName="1">
      <xmlPr mapId="43" xpath="/ns1:Root/ns1:Prog/ns1:Target_P1_5" xmlDataType="double"/>
    </xmlCellPr>
  </singleXmlCell>
  <singleXmlCell id="663" xr6:uid="{00000000-000C-0000-FFFF-FFFFAF000000}" r="I125" connectionId="0">
    <xmlCellPr id="1" xr6:uid="{00000000-0010-0000-AF00-000001000000}" uniqueName="1">
      <xmlPr mapId="43" xpath="/ns1:Root/ns1:Prog/ns1:Target_P2_5" xmlDataType="double"/>
    </xmlCellPr>
  </singleXmlCell>
  <singleXmlCell id="664" xr6:uid="{00000000-000C-0000-FFFF-FFFFB0000000}" r="J125" connectionId="0">
    <xmlCellPr id="1" xr6:uid="{00000000-0010-0000-B000-000001000000}" uniqueName="1">
      <xmlPr mapId="43" xpath="/ns1:Root/ns1:Prog/ns1:Target_P3_5" xmlDataType="double"/>
    </xmlCellPr>
  </singleXmlCell>
  <singleXmlCell id="665" xr6:uid="{00000000-000C-0000-FFFF-FFFFB1000000}" r="K125" connectionId="0">
    <xmlCellPr id="1" xr6:uid="{00000000-0010-0000-B100-000001000000}" uniqueName="1">
      <xmlPr mapId="43" xpath="/ns1:Root/ns1:Prog/ns1:Target_P4_5" xmlDataType="double"/>
    </xmlCellPr>
  </singleXmlCell>
  <singleXmlCell id="666" xr6:uid="{00000000-000C-0000-FFFF-FFFFB2000000}" r="L125" connectionId="0">
    <xmlCellPr id="1" xr6:uid="{00000000-0010-0000-B200-000001000000}" uniqueName="1">
      <xmlPr mapId="43" xpath="/ns1:Root/ns1:Prog/ns1:Target_P5_5" xmlDataType="double"/>
    </xmlCellPr>
  </singleXmlCell>
  <singleXmlCell id="667" xr6:uid="{00000000-000C-0000-FFFF-FFFFB3000000}" r="M125" connectionId="0">
    <xmlCellPr id="1" xr6:uid="{00000000-0010-0000-B300-000001000000}" uniqueName="1">
      <xmlPr mapId="43" xpath="/ns1:Root/ns1:Prog/ns1:Target_P6_5" xmlDataType="double"/>
    </xmlCellPr>
  </singleXmlCell>
  <singleXmlCell id="668" xr6:uid="{00000000-000C-0000-FFFF-FFFFB4000000}" r="N125" connectionId="0">
    <xmlCellPr id="1" xr6:uid="{00000000-0010-0000-B400-000001000000}" uniqueName="1">
      <xmlPr mapId="43" xpath="/ns1:Root/ns1:Prog/ns1:Target_P7_5" xmlDataType="double"/>
    </xmlCellPr>
  </singleXmlCell>
  <singleXmlCell id="669" xr6:uid="{00000000-000C-0000-FFFF-FFFFB5000000}" r="O125" connectionId="0">
    <xmlCellPr id="1" xr6:uid="{00000000-0010-0000-B500-000001000000}" uniqueName="1">
      <xmlPr mapId="43" xpath="/ns1:Root/ns1:Prog/ns1:Target_P8_5" xmlDataType="double"/>
    </xmlCellPr>
  </singleXmlCell>
  <singleXmlCell id="670" xr6:uid="{00000000-000C-0000-FFFF-FFFFB6000000}" r="P125" connectionId="0">
    <xmlCellPr id="1" xr6:uid="{00000000-0010-0000-B600-000001000000}" uniqueName="1">
      <xmlPr mapId="43" xpath="/ns1:Root/ns1:Prog/ns1:Target_P9_5" xmlDataType="double"/>
    </xmlCellPr>
  </singleXmlCell>
  <singleXmlCell id="671" xr6:uid="{00000000-000C-0000-FFFF-FFFFB7000000}" r="Q125" connectionId="0">
    <xmlCellPr id="1" xr6:uid="{00000000-0010-0000-B700-000001000000}" uniqueName="1">
      <xmlPr mapId="43" xpath="/ns1:Root/ns1:Prog/ns1:Target_P10_5" xmlDataType="double"/>
    </xmlCellPr>
  </singleXmlCell>
  <singleXmlCell id="672" xr6:uid="{00000000-000C-0000-FFFF-FFFFB8000000}" r="R125" connectionId="0">
    <xmlCellPr id="1" xr6:uid="{00000000-0010-0000-B800-000001000000}" uniqueName="1">
      <xmlPr mapId="43" xpath="/ns1:Root/ns1:Prog/ns1:Target_P11_5" xmlDataType="double"/>
    </xmlCellPr>
  </singleXmlCell>
  <singleXmlCell id="673" xr6:uid="{00000000-000C-0000-FFFF-FFFFB9000000}" r="S125" connectionId="0">
    <xmlCellPr id="1" xr6:uid="{00000000-0010-0000-B900-000001000000}" uniqueName="1">
      <xmlPr mapId="43" xpath="/ns1:Root/ns1:Prog/ns1:Target_P12_5" xmlDataType="double"/>
    </xmlCellPr>
  </singleXmlCell>
  <singleXmlCell id="674" xr6:uid="{00000000-000C-0000-FFFF-FFFFBA000000}" r="H126" connectionId="0">
    <xmlCellPr id="1" xr6:uid="{00000000-0010-0000-BA00-000001000000}" uniqueName="1">
      <xmlPr mapId="43" xpath="/ns1:Root/ns1:Prog/ns1:Achieved__P1_5" xmlDataType="double"/>
    </xmlCellPr>
  </singleXmlCell>
  <singleXmlCell id="675" xr6:uid="{00000000-000C-0000-FFFF-FFFFBB000000}" r="I126" connectionId="0">
    <xmlCellPr id="1" xr6:uid="{00000000-0010-0000-BB00-000001000000}" uniqueName="1">
      <xmlPr mapId="43" xpath="/ns1:Root/ns1:Prog/ns1:Achieved__P2_5" xmlDataType="double"/>
    </xmlCellPr>
  </singleXmlCell>
  <singleXmlCell id="676" xr6:uid="{00000000-000C-0000-FFFF-FFFFBC000000}" r="J126" connectionId="0">
    <xmlCellPr id="1" xr6:uid="{00000000-0010-0000-BC00-000001000000}" uniqueName="1">
      <xmlPr mapId="43" xpath="/ns1:Root/ns1:Prog/ns1:Achieved__P3_5" xmlDataType="double"/>
    </xmlCellPr>
  </singleXmlCell>
  <singleXmlCell id="677" xr6:uid="{00000000-000C-0000-FFFF-FFFFBD000000}" r="K126" connectionId="0">
    <xmlCellPr id="1" xr6:uid="{00000000-0010-0000-BD00-000001000000}" uniqueName="1">
      <xmlPr mapId="43" xpath="/ns1:Root/ns1:Prog/ns1:Achieved__P4_5" xmlDataType="double"/>
    </xmlCellPr>
  </singleXmlCell>
  <singleXmlCell id="678" xr6:uid="{00000000-000C-0000-FFFF-FFFFBE000000}" r="L126" connectionId="0">
    <xmlCellPr id="1" xr6:uid="{00000000-0010-0000-BE00-000001000000}" uniqueName="1">
      <xmlPr mapId="43" xpath="/ns1:Root/ns1:Prog/ns1:Achieved__P5_5" xmlDataType="string"/>
    </xmlCellPr>
  </singleXmlCell>
  <singleXmlCell id="679" xr6:uid="{00000000-000C-0000-FFFF-FFFFBF000000}" r="M126" connectionId="0">
    <xmlCellPr id="1" xr6:uid="{00000000-0010-0000-BF00-000001000000}" uniqueName="1">
      <xmlPr mapId="43" xpath="/ns1:Root/ns1:Prog/ns1:Achieved__P6_5" xmlDataType="string"/>
    </xmlCellPr>
  </singleXmlCell>
  <singleXmlCell id="680" xr6:uid="{00000000-000C-0000-FFFF-FFFFC0000000}" r="N126" connectionId="0">
    <xmlCellPr id="1" xr6:uid="{00000000-0010-0000-C000-000001000000}" uniqueName="1">
      <xmlPr mapId="43" xpath="/ns1:Root/ns1:Prog/ns1:Achieved__P7_5" xmlDataType="string"/>
    </xmlCellPr>
  </singleXmlCell>
  <singleXmlCell id="681" xr6:uid="{00000000-000C-0000-FFFF-FFFFC1000000}" r="O126" connectionId="0">
    <xmlCellPr id="1" xr6:uid="{00000000-0010-0000-C100-000001000000}" uniqueName="1">
      <xmlPr mapId="43" xpath="/ns1:Root/ns1:Prog/ns1:Achieved__P8_5" xmlDataType="string"/>
    </xmlCellPr>
  </singleXmlCell>
  <singleXmlCell id="682" xr6:uid="{00000000-000C-0000-FFFF-FFFFC2000000}" r="P126" connectionId="0">
    <xmlCellPr id="1" xr6:uid="{00000000-0010-0000-C200-000001000000}" uniqueName="1">
      <xmlPr mapId="43" xpath="/ns1:Root/ns1:Prog/ns1:Achieved__P9_5" xmlDataType="string"/>
    </xmlCellPr>
  </singleXmlCell>
  <singleXmlCell id="683" xr6:uid="{00000000-000C-0000-FFFF-FFFFC3000000}" r="Q126" connectionId="0">
    <xmlCellPr id="1" xr6:uid="{00000000-0010-0000-C300-000001000000}" uniqueName="1">
      <xmlPr mapId="43" xpath="/ns1:Root/ns1:Prog/ns1:Achieved__P10_5" xmlDataType="string"/>
    </xmlCellPr>
  </singleXmlCell>
  <singleXmlCell id="684" xr6:uid="{00000000-000C-0000-FFFF-FFFFC4000000}" r="R126" connectionId="0">
    <xmlCellPr id="1" xr6:uid="{00000000-0010-0000-C400-000001000000}" uniqueName="1">
      <xmlPr mapId="43" xpath="/ns1:Root/ns1:Prog/ns1:Achieved__P11_5" xmlDataType="string"/>
    </xmlCellPr>
  </singleXmlCell>
  <singleXmlCell id="685" xr6:uid="{00000000-000C-0000-FFFF-FFFFC5000000}" r="S126" connectionId="0">
    <xmlCellPr id="1" xr6:uid="{00000000-0010-0000-C500-000001000000}" uniqueName="1">
      <xmlPr mapId="43" xpath="/ns1:Root/ns1:Prog/ns1:Achieved__P12_5" xmlDataType="string"/>
    </xmlCellPr>
  </singleXmlCell>
  <singleXmlCell id="686" xr6:uid="{00000000-000C-0000-FFFF-FFFFC6000000}" r="H127" connectionId="0">
    <xmlCellPr id="1" xr6:uid="{00000000-0010-0000-C600-000001000000}" uniqueName="1">
      <xmlPr mapId="43" xpath="/ns1:Root/ns1:Prog/ns1:Target_P1_6" xmlDataType="double"/>
    </xmlCellPr>
  </singleXmlCell>
  <singleXmlCell id="687" xr6:uid="{00000000-000C-0000-FFFF-FFFFC7000000}" r="I127" connectionId="0">
    <xmlCellPr id="1" xr6:uid="{00000000-0010-0000-C700-000001000000}" uniqueName="1">
      <xmlPr mapId="43" xpath="/ns1:Root/ns1:Prog/ns1:Target_P2_6" xmlDataType="double"/>
    </xmlCellPr>
  </singleXmlCell>
  <singleXmlCell id="688" xr6:uid="{00000000-000C-0000-FFFF-FFFFC8000000}" r="J127" connectionId="0">
    <xmlCellPr id="1" xr6:uid="{00000000-0010-0000-C800-000001000000}" uniqueName="1">
      <xmlPr mapId="43" xpath="/ns1:Root/ns1:Prog/ns1:Target_P3_6" xmlDataType="double"/>
    </xmlCellPr>
  </singleXmlCell>
  <singleXmlCell id="689" xr6:uid="{00000000-000C-0000-FFFF-FFFFC9000000}" r="K127" connectionId="0">
    <xmlCellPr id="1" xr6:uid="{00000000-0010-0000-C900-000001000000}" uniqueName="1">
      <xmlPr mapId="43" xpath="/ns1:Root/ns1:Prog/ns1:Target_P4_6" xmlDataType="double"/>
    </xmlCellPr>
  </singleXmlCell>
  <singleXmlCell id="690" xr6:uid="{00000000-000C-0000-FFFF-FFFFCA000000}" r="L127" connectionId="0">
    <xmlCellPr id="1" xr6:uid="{00000000-0010-0000-CA00-000001000000}" uniqueName="1">
      <xmlPr mapId="43" xpath="/ns1:Root/ns1:Prog/ns1:Target_P5_6" xmlDataType="double"/>
    </xmlCellPr>
  </singleXmlCell>
  <singleXmlCell id="691" xr6:uid="{00000000-000C-0000-FFFF-FFFFCB000000}" r="M127" connectionId="0">
    <xmlCellPr id="1" xr6:uid="{00000000-0010-0000-CB00-000001000000}" uniqueName="1">
      <xmlPr mapId="43" xpath="/ns1:Root/ns1:Prog/ns1:Target_P6_6" xmlDataType="double"/>
    </xmlCellPr>
  </singleXmlCell>
  <singleXmlCell id="692" xr6:uid="{00000000-000C-0000-FFFF-FFFFCC000000}" r="N127" connectionId="0">
    <xmlCellPr id="1" xr6:uid="{00000000-0010-0000-CC00-000001000000}" uniqueName="1">
      <xmlPr mapId="43" xpath="/ns1:Root/ns1:Prog/ns1:Target_P7_6" xmlDataType="double"/>
    </xmlCellPr>
  </singleXmlCell>
  <singleXmlCell id="693" xr6:uid="{00000000-000C-0000-FFFF-FFFFCD000000}" r="O127" connectionId="0">
    <xmlCellPr id="1" xr6:uid="{00000000-0010-0000-CD00-000001000000}" uniqueName="1">
      <xmlPr mapId="43" xpath="/ns1:Root/ns1:Prog/ns1:Target_P8_6" xmlDataType="double"/>
    </xmlCellPr>
  </singleXmlCell>
  <singleXmlCell id="694" xr6:uid="{00000000-000C-0000-FFFF-FFFFCE000000}" r="P127" connectionId="0">
    <xmlCellPr id="1" xr6:uid="{00000000-0010-0000-CE00-000001000000}" uniqueName="1">
      <xmlPr mapId="43" xpath="/ns1:Root/ns1:Prog/ns1:Target_P9_6" xmlDataType="double"/>
    </xmlCellPr>
  </singleXmlCell>
  <singleXmlCell id="695" xr6:uid="{00000000-000C-0000-FFFF-FFFFCF000000}" r="Q127" connectionId="0">
    <xmlCellPr id="1" xr6:uid="{00000000-0010-0000-CF00-000001000000}" uniqueName="1">
      <xmlPr mapId="43" xpath="/ns1:Root/ns1:Prog/ns1:Target_P10_6" xmlDataType="double"/>
    </xmlCellPr>
  </singleXmlCell>
  <singleXmlCell id="696" xr6:uid="{00000000-000C-0000-FFFF-FFFFD0000000}" r="R127" connectionId="0">
    <xmlCellPr id="1" xr6:uid="{00000000-0010-0000-D000-000001000000}" uniqueName="1">
      <xmlPr mapId="43" xpath="/ns1:Root/ns1:Prog/ns1:Target_P11_6" xmlDataType="double"/>
    </xmlCellPr>
  </singleXmlCell>
  <singleXmlCell id="697" xr6:uid="{00000000-000C-0000-FFFF-FFFFD1000000}" r="S127" connectionId="0">
    <xmlCellPr id="1" xr6:uid="{00000000-0010-0000-D100-000001000000}" uniqueName="1">
      <xmlPr mapId="43" xpath="/ns1:Root/ns1:Prog/ns1:Target_P12_6" xmlDataType="double"/>
    </xmlCellPr>
  </singleXmlCell>
  <singleXmlCell id="698" xr6:uid="{00000000-000C-0000-FFFF-FFFFD2000000}" r="H128" connectionId="0">
    <xmlCellPr id="1" xr6:uid="{00000000-0010-0000-D200-000001000000}" uniqueName="1">
      <xmlPr mapId="43" xpath="/ns1:Root/ns1:Prog/ns1:Achieved__P1_6" xmlDataType="double"/>
    </xmlCellPr>
  </singleXmlCell>
  <singleXmlCell id="699" xr6:uid="{00000000-000C-0000-FFFF-FFFFD3000000}" r="I128" connectionId="0">
    <xmlCellPr id="1" xr6:uid="{00000000-0010-0000-D300-000001000000}" uniqueName="1">
      <xmlPr mapId="43" xpath="/ns1:Root/ns1:Prog/ns1:Achieved__P2_6" xmlDataType="double"/>
    </xmlCellPr>
  </singleXmlCell>
  <singleXmlCell id="700" xr6:uid="{00000000-000C-0000-FFFF-FFFFD4000000}" r="J128" connectionId="0">
    <xmlCellPr id="1" xr6:uid="{00000000-0010-0000-D400-000001000000}" uniqueName="1">
      <xmlPr mapId="43" xpath="/ns1:Root/ns1:Prog/ns1:Achieved__P3_6" xmlDataType="double"/>
    </xmlCellPr>
  </singleXmlCell>
  <singleXmlCell id="701" xr6:uid="{00000000-000C-0000-FFFF-FFFFD5000000}" r="K128" connectionId="0">
    <xmlCellPr id="1" xr6:uid="{00000000-0010-0000-D500-000001000000}" uniqueName="1">
      <xmlPr mapId="43" xpath="/ns1:Root/ns1:Prog/ns1:Achieved__P4_6" xmlDataType="double"/>
    </xmlCellPr>
  </singleXmlCell>
  <singleXmlCell id="702" xr6:uid="{00000000-000C-0000-FFFF-FFFFD6000000}" r="L128" connectionId="0">
    <xmlCellPr id="1" xr6:uid="{00000000-0010-0000-D600-000001000000}" uniqueName="1">
      <xmlPr mapId="43" xpath="/ns1:Root/ns1:Prog/ns1:Achieved__P5_6" xmlDataType="string"/>
    </xmlCellPr>
  </singleXmlCell>
  <singleXmlCell id="703" xr6:uid="{00000000-000C-0000-FFFF-FFFFD7000000}" r="M128" connectionId="0">
    <xmlCellPr id="1" xr6:uid="{00000000-0010-0000-D700-000001000000}" uniqueName="1">
      <xmlPr mapId="43" xpath="/ns1:Root/ns1:Prog/ns1:Achieved__P6_6" xmlDataType="string"/>
    </xmlCellPr>
  </singleXmlCell>
  <singleXmlCell id="704" xr6:uid="{00000000-000C-0000-FFFF-FFFFD8000000}" r="N128" connectionId="0">
    <xmlCellPr id="1" xr6:uid="{00000000-0010-0000-D800-000001000000}" uniqueName="1">
      <xmlPr mapId="43" xpath="/ns1:Root/ns1:Prog/ns1:Achieved__P7_6" xmlDataType="string"/>
    </xmlCellPr>
  </singleXmlCell>
  <singleXmlCell id="705" xr6:uid="{00000000-000C-0000-FFFF-FFFFD9000000}" r="O128" connectionId="0">
    <xmlCellPr id="1" xr6:uid="{00000000-0010-0000-D900-000001000000}" uniqueName="1">
      <xmlPr mapId="43" xpath="/ns1:Root/ns1:Prog/ns1:Achieved__P8_6" xmlDataType="string"/>
    </xmlCellPr>
  </singleXmlCell>
  <singleXmlCell id="706" xr6:uid="{00000000-000C-0000-FFFF-FFFFDA000000}" r="P128" connectionId="0">
    <xmlCellPr id="1" xr6:uid="{00000000-0010-0000-DA00-000001000000}" uniqueName="1">
      <xmlPr mapId="43" xpath="/ns1:Root/ns1:Prog/ns1:Achieved__P9_6" xmlDataType="string"/>
    </xmlCellPr>
  </singleXmlCell>
  <singleXmlCell id="707" xr6:uid="{00000000-000C-0000-FFFF-FFFFDB000000}" r="Q128" connectionId="0">
    <xmlCellPr id="1" xr6:uid="{00000000-0010-0000-DB00-000001000000}" uniqueName="1">
      <xmlPr mapId="43" xpath="/ns1:Root/ns1:Prog/ns1:Achieved__P10_6" xmlDataType="string"/>
    </xmlCellPr>
  </singleXmlCell>
  <singleXmlCell id="708" xr6:uid="{00000000-000C-0000-FFFF-FFFFDC000000}" r="R128" connectionId="0">
    <xmlCellPr id="1" xr6:uid="{00000000-0010-0000-DC00-000001000000}" uniqueName="1">
      <xmlPr mapId="43" xpath="/ns1:Root/ns1:Prog/ns1:Achieved__P11_6" xmlDataType="string"/>
    </xmlCellPr>
  </singleXmlCell>
  <singleXmlCell id="709" xr6:uid="{00000000-000C-0000-FFFF-FFFFDD000000}" r="S128" connectionId="0">
    <xmlCellPr id="1" xr6:uid="{00000000-0010-0000-DD00-000001000000}" uniqueName="1">
      <xmlPr mapId="43" xpath="/ns1:Root/ns1:Prog/ns1:Achieved__P12_6" xmlDataType="string"/>
    </xmlCellPr>
  </singleXmlCell>
  <singleXmlCell id="808" xr6:uid="{00000000-000C-0000-FFFF-FFFFDE000000}" r="E119" connectionId="0">
    <xmlCellPr id="1" xr6:uid="{00000000-0010-0000-DE00-000001000000}" uniqueName="1">
      <xmlPr mapId="43" xpath="/ns1:Root/ns1:P1_Code" xmlDataType="double"/>
    </xmlCellPr>
  </singleXmlCell>
  <singleXmlCell id="810" xr6:uid="{00000000-000C-0000-FFFF-FFFFDF000000}" r="B121" connectionId="0">
    <xmlCellPr id="1" xr6:uid="{00000000-0010-0000-DF00-000001000000}" uniqueName="1">
      <xmlPr mapId="43" xpath="/ns1:Root/ns1:P2" xmlDataType="string"/>
    </xmlCellPr>
  </singleXmlCell>
  <singleXmlCell id="811" xr6:uid="{00000000-000C-0000-FFFF-FFFFE0000000}" r="E121" connectionId="0">
    <xmlCellPr id="1" xr6:uid="{00000000-0010-0000-E000-000001000000}" uniqueName="1">
      <xmlPr mapId="43" xpath="/ns1:Root/ns1:P2_Code" xmlDataType="double"/>
    </xmlCellPr>
  </singleXmlCell>
  <singleXmlCell id="812" xr6:uid="{00000000-000C-0000-FFFF-FFFFE1000000}" r="F121" connectionId="0">
    <xmlCellPr id="1" xr6:uid="{00000000-0010-0000-E100-000001000000}" uniqueName="1">
      <xmlPr mapId="43" xpath="/ns1:Root/ns1:P2_Tied" xmlDataType="string"/>
    </xmlCellPr>
  </singleXmlCell>
  <singleXmlCell id="819" xr6:uid="{00000000-000C-0000-FFFF-FFFFE2000000}" r="B125" connectionId="0">
    <xmlCellPr id="1" xr6:uid="{00000000-0010-0000-E200-000001000000}" uniqueName="1">
      <xmlPr mapId="43" xpath="/ns1:Root/ns1:P5" xmlDataType="string"/>
    </xmlCellPr>
  </singleXmlCell>
  <singleXmlCell id="820" xr6:uid="{00000000-000C-0000-FFFF-FFFFE3000000}" r="E125" connectionId="0">
    <xmlCellPr id="1" xr6:uid="{00000000-0010-0000-E300-000001000000}" uniqueName="1">
      <xmlPr mapId="43" xpath="/ns1:Root/ns1:P5_Code" xmlDataType="double"/>
    </xmlCellPr>
  </singleXmlCell>
  <singleXmlCell id="821" xr6:uid="{00000000-000C-0000-FFFF-FFFFE4000000}" r="F125" connectionId="0">
    <xmlCellPr id="1" xr6:uid="{00000000-0010-0000-E400-000001000000}" uniqueName="1">
      <xmlPr mapId="43" xpath="/ns1:Root/ns1:P5_Tied" xmlDataType="string"/>
    </xmlCellPr>
  </singleXmlCell>
  <singleXmlCell id="822" xr6:uid="{00000000-000C-0000-FFFF-FFFFE5000000}" r="B127" connectionId="0">
    <xmlCellPr id="1" xr6:uid="{00000000-0010-0000-E500-000001000000}" uniqueName="1">
      <xmlPr mapId="43" xpath="/ns1:Root/ns1:P6" xmlDataType="string"/>
    </xmlCellPr>
  </singleXmlCell>
  <singleXmlCell id="823" xr6:uid="{00000000-000C-0000-FFFF-FFFFE6000000}" r="E127" connectionId="0">
    <xmlCellPr id="1" xr6:uid="{00000000-0010-0000-E600-000001000000}" uniqueName="1">
      <xmlPr mapId="43" xpath="/ns1:Root/ns1:P6_Code" xmlDataType="double"/>
    </xmlCellPr>
  </singleXmlCell>
  <singleXmlCell id="824" xr6:uid="{00000000-000C-0000-FFFF-FFFFE7000000}" r="F127" connectionId="0">
    <xmlCellPr id="1" xr6:uid="{00000000-0010-0000-E700-000001000000}" uniqueName="1">
      <xmlPr mapId="43" xpath="/ns1:Root/ns1:P6_Tied" xmlDataType="string"/>
    </xmlCellPr>
  </singleXmlCell>
  <singleXmlCell id="837" xr6:uid="{00000000-000C-0000-FFFF-FFFFE8000000}" r="D26" connectionId="0">
    <xmlCellPr id="1" xr6:uid="{00000000-0010-0000-E800-000001000000}" uniqueName="1">
      <xmlPr mapId="43" xpath="/ns1:Root/ns1:Currency" xmlDataType="string"/>
    </xmlCellPr>
  </singleXmlCell>
  <singleXmlCell id="830" xr6:uid="{00000000-000C-0000-FFFF-FFFFE9000000}" r="F133" connectionId="0">
    <xmlCellPr id="1" xr6:uid="{00000000-0010-0000-E900-000001000000}" uniqueName="1">
      <xmlPr mapId="43" xpath="/ns1:Root/ns1:P8_Tied" xmlDataType="string"/>
    </xmlCellPr>
  </singleXmlCell>
  <singleXmlCell id="829" xr6:uid="{00000000-000C-0000-FFFF-FFFFEA000000}" r="E133" connectionId="0">
    <xmlCellPr id="1" xr6:uid="{00000000-0010-0000-EA00-000001000000}" uniqueName="1">
      <xmlPr mapId="43" xpath="/ns1:Root/ns1:P8_Code" xmlDataType="double"/>
    </xmlCellPr>
  </singleXmlCell>
  <singleXmlCell id="828" xr6:uid="{00000000-000C-0000-FFFF-FFFFEB000000}" r="B133" connectionId="0">
    <xmlCellPr id="1" xr6:uid="{00000000-0010-0000-EB00-000001000000}" uniqueName="1">
      <xmlPr mapId="43" xpath="/ns1:Root/ns1:P8" xmlDataType="string"/>
    </xmlCellPr>
  </singleXmlCell>
  <singleXmlCell id="827" xr6:uid="{00000000-000C-0000-FFFF-FFFFEC000000}" r="F129" connectionId="0">
    <xmlCellPr id="1" xr6:uid="{00000000-0010-0000-EC00-000001000000}" uniqueName="1">
      <xmlPr mapId="43" xpath="/ns1:Root/ns1:P7_Tied" xmlDataType="string"/>
    </xmlCellPr>
  </singleXmlCell>
  <singleXmlCell id="826" xr6:uid="{00000000-000C-0000-FFFF-FFFFED000000}" r="E129" connectionId="0">
    <xmlCellPr id="1" xr6:uid="{00000000-0010-0000-ED00-000001000000}" uniqueName="1">
      <xmlPr mapId="43" xpath="/ns1:Root/ns1:P7_Code" xmlDataType="double"/>
    </xmlCellPr>
  </singleXmlCell>
  <singleXmlCell id="825" xr6:uid="{00000000-000C-0000-FFFF-FFFFEE000000}" r="B129" connectionId="0">
    <xmlCellPr id="1" xr6:uid="{00000000-0010-0000-EE00-000001000000}" uniqueName="1">
      <xmlPr mapId="43" xpath="/ns1:Root/ns1:P7" xmlDataType="string"/>
    </xmlCellPr>
  </singleXmlCell>
  <singleXmlCell id="757" xr6:uid="{00000000-000C-0000-FFFF-FFFFEF000000}" r="S134" connectionId="0">
    <xmlCellPr id="1" xr6:uid="{00000000-0010-0000-EF00-000001000000}" uniqueName="1">
      <xmlPr mapId="43" xpath="/ns1:Root/ns1:Prog/ns1:Achieved__P12_8" xmlDataType="string"/>
    </xmlCellPr>
  </singleXmlCell>
  <singleXmlCell id="756" xr6:uid="{00000000-000C-0000-FFFF-FFFFF0000000}" r="R134" connectionId="0">
    <xmlCellPr id="1" xr6:uid="{00000000-0010-0000-F000-000001000000}" uniqueName="1">
      <xmlPr mapId="43" xpath="/ns1:Root/ns1:Prog/ns1:Achieved__P11_8" xmlDataType="string"/>
    </xmlCellPr>
  </singleXmlCell>
  <singleXmlCell id="755" xr6:uid="{00000000-000C-0000-FFFF-FFFFF1000000}" r="Q134" connectionId="0">
    <xmlCellPr id="1" xr6:uid="{00000000-0010-0000-F100-000001000000}" uniqueName="1">
      <xmlPr mapId="43" xpath="/ns1:Root/ns1:Prog/ns1:Achieved__P10_8" xmlDataType="string"/>
    </xmlCellPr>
  </singleXmlCell>
  <singleXmlCell id="754" xr6:uid="{00000000-000C-0000-FFFF-FFFFF2000000}" r="P134" connectionId="0">
    <xmlCellPr id="1" xr6:uid="{00000000-0010-0000-F200-000001000000}" uniqueName="1">
      <xmlPr mapId="43" xpath="/ns1:Root/ns1:Prog/ns1:Achieved__P9_8" xmlDataType="string"/>
    </xmlCellPr>
  </singleXmlCell>
  <singleXmlCell id="753" xr6:uid="{00000000-000C-0000-FFFF-FFFFF3000000}" r="O134" connectionId="0">
    <xmlCellPr id="1" xr6:uid="{00000000-0010-0000-F300-000001000000}" uniqueName="1">
      <xmlPr mapId="43" xpath="/ns1:Root/ns1:Prog/ns1:Achieved__P8_8" xmlDataType="string"/>
    </xmlCellPr>
  </singleXmlCell>
  <singleXmlCell id="752" xr6:uid="{00000000-000C-0000-FFFF-FFFFF4000000}" r="N134" connectionId="0">
    <xmlCellPr id="1" xr6:uid="{00000000-0010-0000-F400-000001000000}" uniqueName="1">
      <xmlPr mapId="43" xpath="/ns1:Root/ns1:Prog/ns1:Achieved__P7_8" xmlDataType="string"/>
    </xmlCellPr>
  </singleXmlCell>
  <singleXmlCell id="751" xr6:uid="{00000000-000C-0000-FFFF-FFFFF5000000}" r="M134" connectionId="0">
    <xmlCellPr id="1" xr6:uid="{00000000-0010-0000-F500-000001000000}" uniqueName="1">
      <xmlPr mapId="43" xpath="/ns1:Root/ns1:Prog/ns1:Achieved__P6_8" xmlDataType="string"/>
    </xmlCellPr>
  </singleXmlCell>
  <singleXmlCell id="750" xr6:uid="{00000000-000C-0000-FFFF-FFFFF6000000}" r="L134" connectionId="0">
    <xmlCellPr id="1" xr6:uid="{00000000-0010-0000-F600-000001000000}" uniqueName="1">
      <xmlPr mapId="43" xpath="/ns1:Root/ns1:Prog/ns1:Achieved__P5_8" xmlDataType="string"/>
    </xmlCellPr>
  </singleXmlCell>
  <singleXmlCell id="749" xr6:uid="{00000000-000C-0000-FFFF-FFFFF7000000}" r="K134" connectionId="0">
    <xmlCellPr id="1" xr6:uid="{00000000-0010-0000-F700-000001000000}" uniqueName="1">
      <xmlPr mapId="43" xpath="/ns1:Root/ns1:Prog/ns1:Achieved__P4_8" xmlDataType="string"/>
    </xmlCellPr>
  </singleXmlCell>
  <singleXmlCell id="748" xr6:uid="{00000000-000C-0000-FFFF-FFFFF8000000}" r="J134" connectionId="0">
    <xmlCellPr id="1" xr6:uid="{00000000-0010-0000-F800-000001000000}" uniqueName="1">
      <xmlPr mapId="43" xpath="/ns1:Root/ns1:Prog/ns1:Achieved__P3_8" xmlDataType="string"/>
    </xmlCellPr>
  </singleXmlCell>
  <singleXmlCell id="747" xr6:uid="{00000000-000C-0000-FFFF-FFFFF9000000}" r="I134" connectionId="0">
    <xmlCellPr id="1" xr6:uid="{00000000-0010-0000-F900-000001000000}" uniqueName="1">
      <xmlPr mapId="43" xpath="/ns1:Root/ns1:Prog/ns1:Achieved__P2_8" xmlDataType="string"/>
    </xmlCellPr>
  </singleXmlCell>
  <singleXmlCell id="746" xr6:uid="{00000000-000C-0000-FFFF-FFFFFA000000}" r="H134" connectionId="0">
    <xmlCellPr id="1" xr6:uid="{00000000-0010-0000-FA00-000001000000}" uniqueName="1">
      <xmlPr mapId="43" xpath="/ns1:Root/ns1:Prog/ns1:Achieved__P1_8" xmlDataType="string"/>
    </xmlCellPr>
  </singleXmlCell>
  <singleXmlCell id="745" xr6:uid="{00000000-000C-0000-FFFF-FFFFFB000000}" r="S133" connectionId="0">
    <xmlCellPr id="1" xr6:uid="{00000000-0010-0000-FB00-000001000000}" uniqueName="1">
      <xmlPr mapId="43" xpath="/ns1:Root/ns1:Prog/ns1:Target_P12_8" xmlDataType="double"/>
    </xmlCellPr>
  </singleXmlCell>
  <singleXmlCell id="744" xr6:uid="{00000000-000C-0000-FFFF-FFFFFC000000}" r="R133" connectionId="0">
    <xmlCellPr id="1" xr6:uid="{00000000-0010-0000-FC00-000001000000}" uniqueName="1">
      <xmlPr mapId="43" xpath="/ns1:Root/ns1:Prog/ns1:Target_P11_8" xmlDataType="double"/>
    </xmlCellPr>
  </singleXmlCell>
  <singleXmlCell id="743" xr6:uid="{00000000-000C-0000-FFFF-FFFFFD000000}" r="Q133" connectionId="0">
    <xmlCellPr id="1" xr6:uid="{00000000-0010-0000-FD00-000001000000}" uniqueName="1">
      <xmlPr mapId="43" xpath="/ns1:Root/ns1:Prog/ns1:Target_P10_8" xmlDataType="double"/>
    </xmlCellPr>
  </singleXmlCell>
  <singleXmlCell id="742" xr6:uid="{00000000-000C-0000-FFFF-FFFFFE000000}" r="P133" connectionId="0">
    <xmlCellPr id="1" xr6:uid="{00000000-0010-0000-FE00-000001000000}" uniqueName="1">
      <xmlPr mapId="43" xpath="/ns1:Root/ns1:Prog/ns1:Target_P9_8" xmlDataType="double"/>
    </xmlCellPr>
  </singleXmlCell>
  <singleXmlCell id="741" xr6:uid="{00000000-000C-0000-FFFF-FFFFFF000000}" r="O133" connectionId="0">
    <xmlCellPr id="1" xr6:uid="{00000000-0010-0000-FF00-000001000000}" uniqueName="1">
      <xmlPr mapId="43" xpath="/ns1:Root/ns1:Prog/ns1:Target_P8_8" xmlDataType="double"/>
    </xmlCellPr>
  </singleXmlCell>
  <singleXmlCell id="740" xr6:uid="{00000000-000C-0000-FFFF-FFFF00010000}" r="N133" connectionId="0">
    <xmlCellPr id="1" xr6:uid="{00000000-0010-0000-0001-000001000000}" uniqueName="1">
      <xmlPr mapId="43" xpath="/ns1:Root/ns1:Prog/ns1:Target_P7_8" xmlDataType="string"/>
    </xmlCellPr>
  </singleXmlCell>
  <singleXmlCell id="739" xr6:uid="{00000000-000C-0000-FFFF-FFFF01010000}" r="M133" connectionId="0">
    <xmlCellPr id="1" xr6:uid="{00000000-0010-0000-0101-000001000000}" uniqueName="1">
      <xmlPr mapId="43" xpath="/ns1:Root/ns1:Prog/ns1:Target_P6_8" xmlDataType="double"/>
    </xmlCellPr>
  </singleXmlCell>
  <singleXmlCell id="738" xr6:uid="{00000000-000C-0000-FFFF-FFFF02010000}" r="L133" connectionId="0">
    <xmlCellPr id="1" xr6:uid="{00000000-0010-0000-0201-000001000000}" uniqueName="1">
      <xmlPr mapId="43" xpath="/ns1:Root/ns1:Prog/ns1:Target_P5_8" xmlDataType="string"/>
    </xmlCellPr>
  </singleXmlCell>
  <singleXmlCell id="737" xr6:uid="{00000000-000C-0000-FFFF-FFFF03010000}" r="K133" connectionId="0">
    <xmlCellPr id="1" xr6:uid="{00000000-0010-0000-0301-000001000000}" uniqueName="1">
      <xmlPr mapId="43" xpath="/ns1:Root/ns1:Prog/ns1:Target_P4_8" xmlDataType="double"/>
    </xmlCellPr>
  </singleXmlCell>
  <singleXmlCell id="736" xr6:uid="{00000000-000C-0000-FFFF-FFFF04010000}" r="J133" connectionId="0">
    <xmlCellPr id="1" xr6:uid="{00000000-0010-0000-0401-000001000000}" uniqueName="1">
      <xmlPr mapId="43" xpath="/ns1:Root/ns1:Prog/ns1:Target_P3_8" xmlDataType="string"/>
    </xmlCellPr>
  </singleXmlCell>
  <singleXmlCell id="735" xr6:uid="{00000000-000C-0000-FFFF-FFFF05010000}" r="I133" connectionId="0">
    <xmlCellPr id="1" xr6:uid="{00000000-0010-0000-0501-000001000000}" uniqueName="1">
      <xmlPr mapId="43" xpath="/ns1:Root/ns1:Prog/ns1:Target_P2_8" xmlDataType="double"/>
    </xmlCellPr>
  </singleXmlCell>
  <singleXmlCell id="734" xr6:uid="{00000000-000C-0000-FFFF-FFFF06010000}" r="H133" connectionId="0">
    <xmlCellPr id="1" xr6:uid="{00000000-0010-0000-0601-000001000000}" uniqueName="1">
      <xmlPr mapId="43" xpath="/ns1:Root/ns1:Prog/ns1:Target_P1_8" xmlDataType="string"/>
    </xmlCellPr>
  </singleXmlCell>
  <singleXmlCell id="733" xr6:uid="{00000000-000C-0000-FFFF-FFFF07010000}" r="S130" connectionId="0">
    <xmlCellPr id="1" xr6:uid="{00000000-0010-0000-0701-000001000000}" uniqueName="1">
      <xmlPr mapId="43" xpath="/ns1:Root/ns1:Prog/ns1:Achieved__P12_7" xmlDataType="string"/>
    </xmlCellPr>
  </singleXmlCell>
  <singleXmlCell id="732" xr6:uid="{00000000-000C-0000-FFFF-FFFF08010000}" r="R130" connectionId="0">
    <xmlCellPr id="1" xr6:uid="{00000000-0010-0000-0801-000001000000}" uniqueName="1">
      <xmlPr mapId="43" xpath="/ns1:Root/ns1:Prog/ns1:Achieved__P11_7" xmlDataType="string"/>
    </xmlCellPr>
  </singleXmlCell>
  <singleXmlCell id="731" xr6:uid="{00000000-000C-0000-FFFF-FFFF09010000}" r="Q130" connectionId="0">
    <xmlCellPr id="1" xr6:uid="{00000000-0010-0000-0901-000001000000}" uniqueName="1">
      <xmlPr mapId="43" xpath="/ns1:Root/ns1:Prog/ns1:Achieved__P10_7" xmlDataType="string"/>
    </xmlCellPr>
  </singleXmlCell>
  <singleXmlCell id="730" xr6:uid="{00000000-000C-0000-FFFF-FFFF0A010000}" r="P130" connectionId="0">
    <xmlCellPr id="1" xr6:uid="{00000000-0010-0000-0A01-000001000000}" uniqueName="1">
      <xmlPr mapId="43" xpath="/ns1:Root/ns1:Prog/ns1:Achieved__P9_7" xmlDataType="string"/>
    </xmlCellPr>
  </singleXmlCell>
  <singleXmlCell id="729" xr6:uid="{00000000-000C-0000-FFFF-FFFF0B010000}" r="O130" connectionId="0">
    <xmlCellPr id="1" xr6:uid="{00000000-0010-0000-0B01-000001000000}" uniqueName="1">
      <xmlPr mapId="43" xpath="/ns1:Root/ns1:Prog/ns1:Achieved__P8_7" xmlDataType="string"/>
    </xmlCellPr>
  </singleXmlCell>
  <singleXmlCell id="728" xr6:uid="{00000000-000C-0000-FFFF-FFFF0C010000}" r="N130" connectionId="0">
    <xmlCellPr id="1" xr6:uid="{00000000-0010-0000-0C01-000001000000}" uniqueName="1">
      <xmlPr mapId="43" xpath="/ns1:Root/ns1:Prog/ns1:Achieved__P7_7" xmlDataType="string"/>
    </xmlCellPr>
  </singleXmlCell>
  <singleXmlCell id="727" xr6:uid="{00000000-000C-0000-FFFF-FFFF0D010000}" r="M130" connectionId="0">
    <xmlCellPr id="1" xr6:uid="{00000000-0010-0000-0D01-000001000000}" uniqueName="1">
      <xmlPr mapId="43" xpath="/ns1:Root/ns1:Prog/ns1:Achieved__P6_7" xmlDataType="string"/>
    </xmlCellPr>
  </singleXmlCell>
  <singleXmlCell id="726" xr6:uid="{00000000-000C-0000-FFFF-FFFF0E010000}" r="L130" connectionId="0">
    <xmlCellPr id="1" xr6:uid="{00000000-0010-0000-0E01-000001000000}" uniqueName="1">
      <xmlPr mapId="43" xpath="/ns1:Root/ns1:Prog/ns1:Achieved__P5_7" xmlDataType="string"/>
    </xmlCellPr>
  </singleXmlCell>
  <singleXmlCell id="725" xr6:uid="{00000000-000C-0000-FFFF-FFFF0F010000}" r="K130" connectionId="0">
    <xmlCellPr id="1" xr6:uid="{00000000-0010-0000-0F01-000001000000}" uniqueName="1">
      <xmlPr mapId="43" xpath="/ns1:Root/ns1:Prog/ns1:Achieved__P4_7" xmlDataType="double"/>
    </xmlCellPr>
  </singleXmlCell>
  <singleXmlCell id="724" xr6:uid="{00000000-000C-0000-FFFF-FFFF10010000}" r="J130" connectionId="0">
    <xmlCellPr id="1" xr6:uid="{00000000-0010-0000-1001-000001000000}" uniqueName="1">
      <xmlPr mapId="43" xpath="/ns1:Root/ns1:Prog/ns1:Achieved__P3_7" xmlDataType="double"/>
    </xmlCellPr>
  </singleXmlCell>
  <singleXmlCell id="723" xr6:uid="{00000000-000C-0000-FFFF-FFFF11010000}" r="I130" connectionId="0">
    <xmlCellPr id="1" xr6:uid="{00000000-0010-0000-1101-000001000000}" uniqueName="1">
      <xmlPr mapId="43" xpath="/ns1:Root/ns1:Prog/ns1:Achieved__P2_7" xmlDataType="double"/>
    </xmlCellPr>
  </singleXmlCell>
  <singleXmlCell id="722" xr6:uid="{00000000-000C-0000-FFFF-FFFF12010000}" r="H130" connectionId="0">
    <xmlCellPr id="1" xr6:uid="{00000000-0010-0000-1201-000001000000}" uniqueName="1">
      <xmlPr mapId="43" xpath="/ns1:Root/ns1:Prog/ns1:Achieved__P1_7" xmlDataType="double"/>
    </xmlCellPr>
  </singleXmlCell>
  <singleXmlCell id="721" xr6:uid="{00000000-000C-0000-FFFF-FFFF13010000}" r="S129" connectionId="0">
    <xmlCellPr id="1" xr6:uid="{00000000-0010-0000-1301-000001000000}" uniqueName="1">
      <xmlPr mapId="43" xpath="/ns1:Root/ns1:Prog/ns1:Target_P12_7" xmlDataType="double"/>
    </xmlCellPr>
  </singleXmlCell>
  <singleXmlCell id="720" xr6:uid="{00000000-000C-0000-FFFF-FFFF14010000}" r="R129" connectionId="0">
    <xmlCellPr id="1" xr6:uid="{00000000-0010-0000-1401-000001000000}" uniqueName="1">
      <xmlPr mapId="43" xpath="/ns1:Root/ns1:Prog/ns1:Target_P11_7" xmlDataType="double"/>
    </xmlCellPr>
  </singleXmlCell>
  <singleXmlCell id="719" xr6:uid="{00000000-000C-0000-FFFF-FFFF15010000}" r="Q129" connectionId="0">
    <xmlCellPr id="1" xr6:uid="{00000000-0010-0000-1501-000001000000}" uniqueName="1">
      <xmlPr mapId="43" xpath="/ns1:Root/ns1:Prog/ns1:Target_P10_7" xmlDataType="double"/>
    </xmlCellPr>
  </singleXmlCell>
  <singleXmlCell id="718" xr6:uid="{00000000-000C-0000-FFFF-FFFF16010000}" r="P129" connectionId="0">
    <xmlCellPr id="1" xr6:uid="{00000000-0010-0000-1601-000001000000}" uniqueName="1">
      <xmlPr mapId="43" xpath="/ns1:Root/ns1:Prog/ns1:Target_P9_7" xmlDataType="double"/>
    </xmlCellPr>
  </singleXmlCell>
  <singleXmlCell id="717" xr6:uid="{00000000-000C-0000-FFFF-FFFF17010000}" r="O129" connectionId="0">
    <xmlCellPr id="1" xr6:uid="{00000000-0010-0000-1701-000001000000}" uniqueName="1">
      <xmlPr mapId="43" xpath="/ns1:Root/ns1:Prog/ns1:Target_P8_7" xmlDataType="double"/>
    </xmlCellPr>
  </singleXmlCell>
  <singleXmlCell id="716" xr6:uid="{00000000-000C-0000-FFFF-FFFF18010000}" r="N129" connectionId="0">
    <xmlCellPr id="1" xr6:uid="{00000000-0010-0000-1801-000001000000}" uniqueName="1">
      <xmlPr mapId="43" xpath="/ns1:Root/ns1:Prog/ns1:Target_P7_7" xmlDataType="double"/>
    </xmlCellPr>
  </singleXmlCell>
  <singleXmlCell id="715" xr6:uid="{00000000-000C-0000-FFFF-FFFF19010000}" r="M129" connectionId="0">
    <xmlCellPr id="1" xr6:uid="{00000000-0010-0000-1901-000001000000}" uniqueName="1">
      <xmlPr mapId="43" xpath="/ns1:Root/ns1:Prog/ns1:Target_P6_7" xmlDataType="double"/>
    </xmlCellPr>
  </singleXmlCell>
  <singleXmlCell id="714" xr6:uid="{00000000-000C-0000-FFFF-FFFF1A010000}" r="L129" connectionId="0">
    <xmlCellPr id="1" xr6:uid="{00000000-0010-0000-1A01-000001000000}" uniqueName="1">
      <xmlPr mapId="43" xpath="/ns1:Root/ns1:Prog/ns1:Target_P5_7" xmlDataType="double"/>
    </xmlCellPr>
  </singleXmlCell>
  <singleXmlCell id="713" xr6:uid="{00000000-000C-0000-FFFF-FFFF1B010000}" r="K129" connectionId="0">
    <xmlCellPr id="1" xr6:uid="{00000000-0010-0000-1B01-000001000000}" uniqueName="1">
      <xmlPr mapId="43" xpath="/ns1:Root/ns1:Prog/ns1:Target_P4_7" xmlDataType="double"/>
    </xmlCellPr>
  </singleXmlCell>
  <singleXmlCell id="712" xr6:uid="{00000000-000C-0000-FFFF-FFFF1C010000}" r="J129" connectionId="0">
    <xmlCellPr id="1" xr6:uid="{00000000-0010-0000-1C01-000001000000}" uniqueName="1">
      <xmlPr mapId="43" xpath="/ns1:Root/ns1:Prog/ns1:Target_P3_7" xmlDataType="double"/>
    </xmlCellPr>
  </singleXmlCell>
  <singleXmlCell id="711" xr6:uid="{00000000-000C-0000-FFFF-FFFF1D010000}" r="I129" connectionId="0">
    <xmlCellPr id="1" xr6:uid="{00000000-0010-0000-1D01-000001000000}" uniqueName="1">
      <xmlPr mapId="43" xpath="/ns1:Root/ns1:Prog/ns1:Target_P2_7" xmlDataType="double"/>
    </xmlCellPr>
  </singleXmlCell>
  <singleXmlCell id="710" xr6:uid="{00000000-000C-0000-FFFF-FFFF1E010000}" r="H129" connectionId="0">
    <xmlCellPr id="1" xr6:uid="{00000000-0010-0000-1E01-000001000000}" uniqueName="1">
      <xmlPr mapId="43" xpath="/ns1:Root/ns1:Prog/ns1:Target_P1_7" xmlDataType="double"/>
    </xmlCellPr>
  </singleXmlCell>
  <singleXmlCell id="815" xr6:uid="{00000000-000C-0000-FFFF-FFFF1F010000}" r="F123" connectionId="0">
    <xmlCellPr id="1" xr6:uid="{00000000-0010-0000-1F01-000001000000}" uniqueName="1">
      <xmlPr mapId="43" xpath="/ns1:Root/ns1:P3_Tied" xmlDataType="string"/>
    </xmlCellPr>
  </singleXmlCell>
  <singleXmlCell id="814" xr6:uid="{00000000-000C-0000-FFFF-FFFF20010000}" r="E123" connectionId="0">
    <xmlCellPr id="1" xr6:uid="{00000000-0010-0000-2001-000001000000}" uniqueName="1">
      <xmlPr mapId="43" xpath="/ns1:Root/ns1:P3_Code" xmlDataType="double"/>
    </xmlCellPr>
  </singleXmlCell>
  <singleXmlCell id="813" xr6:uid="{00000000-000C-0000-FFFF-FFFF21010000}" r="B123" connectionId="0">
    <xmlCellPr id="1" xr6:uid="{00000000-0010-0000-2101-000001000000}" uniqueName="1">
      <xmlPr mapId="43" xpath="/ns1:Root/ns1:P3" xmlDataType="string"/>
    </xmlCellPr>
  </singleXmlCell>
  <singleXmlCell id="637" xr6:uid="{00000000-000C-0000-FFFF-FFFF22010000}" r="S124" connectionId="0">
    <xmlCellPr id="1" xr6:uid="{00000000-0010-0000-2201-000001000000}" uniqueName="1">
      <xmlPr mapId="43" xpath="/ns1:Root/ns1:Prog/ns1:Achieved__P12_3" xmlDataType="string"/>
    </xmlCellPr>
  </singleXmlCell>
  <singleXmlCell id="636" xr6:uid="{00000000-000C-0000-FFFF-FFFF23010000}" r="R124" connectionId="0">
    <xmlCellPr id="1" xr6:uid="{00000000-0010-0000-2301-000001000000}" uniqueName="1">
      <xmlPr mapId="43" xpath="/ns1:Root/ns1:Prog/ns1:Achieved__P11_3" xmlDataType="string"/>
    </xmlCellPr>
  </singleXmlCell>
  <singleXmlCell id="635" xr6:uid="{00000000-000C-0000-FFFF-FFFF24010000}" r="Q124" connectionId="0">
    <xmlCellPr id="1" xr6:uid="{00000000-0010-0000-2401-000001000000}" uniqueName="1">
      <xmlPr mapId="43" xpath="/ns1:Root/ns1:Prog/ns1:Achieved__P10_3" xmlDataType="string"/>
    </xmlCellPr>
  </singleXmlCell>
  <singleXmlCell id="634" xr6:uid="{00000000-000C-0000-FFFF-FFFF25010000}" r="P124" connectionId="0">
    <xmlCellPr id="1" xr6:uid="{00000000-0010-0000-2501-000001000000}" uniqueName="1">
      <xmlPr mapId="43" xpath="/ns1:Root/ns1:Prog/ns1:Achieved__P9_3" xmlDataType="string"/>
    </xmlCellPr>
  </singleXmlCell>
  <singleXmlCell id="633" xr6:uid="{00000000-000C-0000-FFFF-FFFF26010000}" r="O124" connectionId="0">
    <xmlCellPr id="1" xr6:uid="{00000000-0010-0000-2601-000001000000}" uniqueName="1">
      <xmlPr mapId="43" xpath="/ns1:Root/ns1:Prog/ns1:Achieved__P8_3" xmlDataType="string"/>
    </xmlCellPr>
  </singleXmlCell>
  <singleXmlCell id="632" xr6:uid="{00000000-000C-0000-FFFF-FFFF27010000}" r="N124" connectionId="0">
    <xmlCellPr id="1" xr6:uid="{00000000-0010-0000-2701-000001000000}" uniqueName="1">
      <xmlPr mapId="43" xpath="/ns1:Root/ns1:Prog/ns1:Achieved__P7_3" xmlDataType="string"/>
    </xmlCellPr>
  </singleXmlCell>
  <singleXmlCell id="631" xr6:uid="{00000000-000C-0000-FFFF-FFFF28010000}" r="M124" connectionId="0">
    <xmlCellPr id="1" xr6:uid="{00000000-0010-0000-2801-000001000000}" uniqueName="1">
      <xmlPr mapId="43" xpath="/ns1:Root/ns1:Prog/ns1:Achieved__P6_3" xmlDataType="string"/>
    </xmlCellPr>
  </singleXmlCell>
  <singleXmlCell id="630" xr6:uid="{00000000-000C-0000-FFFF-FFFF29010000}" r="L124" connectionId="0">
    <xmlCellPr id="1" xr6:uid="{00000000-0010-0000-2901-000001000000}" uniqueName="1">
      <xmlPr mapId="43" xpath="/ns1:Root/ns1:Prog/ns1:Achieved__P5_3" xmlDataType="string"/>
    </xmlCellPr>
  </singleXmlCell>
  <singleXmlCell id="629" xr6:uid="{00000000-000C-0000-FFFF-FFFF2A010000}" r="K124" connectionId="0">
    <xmlCellPr id="1" xr6:uid="{00000000-0010-0000-2A01-000001000000}" uniqueName="1">
      <xmlPr mapId="43" xpath="/ns1:Root/ns1:Prog/ns1:Achieved__P4_3" xmlDataType="double"/>
    </xmlCellPr>
  </singleXmlCell>
  <singleXmlCell id="628" xr6:uid="{00000000-000C-0000-FFFF-FFFF2B010000}" r="J124" connectionId="0">
    <xmlCellPr id="1" xr6:uid="{00000000-0010-0000-2B01-000001000000}" uniqueName="1">
      <xmlPr mapId="43" xpath="/ns1:Root/ns1:Prog/ns1:Achieved__P3_3" xmlDataType="string"/>
    </xmlCellPr>
  </singleXmlCell>
  <singleXmlCell id="627" xr6:uid="{00000000-000C-0000-FFFF-FFFF2C010000}" r="I124" connectionId="0">
    <xmlCellPr id="1" xr6:uid="{00000000-0010-0000-2C01-000001000000}" uniqueName="1">
      <xmlPr mapId="43" xpath="/ns1:Root/ns1:Prog/ns1:Achieved__P2_3" xmlDataType="double"/>
    </xmlCellPr>
  </singleXmlCell>
  <singleXmlCell id="626" xr6:uid="{00000000-000C-0000-FFFF-FFFF2D010000}" r="H124" connectionId="0">
    <xmlCellPr id="1" xr6:uid="{00000000-0010-0000-2D01-000001000000}" uniqueName="1">
      <xmlPr mapId="43" xpath="/ns1:Root/ns1:Prog/ns1:Achieved__P1_3" xmlDataType="string"/>
    </xmlCellPr>
  </singleXmlCell>
  <singleXmlCell id="625" xr6:uid="{00000000-000C-0000-FFFF-FFFF2E010000}" r="S123" connectionId="0">
    <xmlCellPr id="1" xr6:uid="{00000000-0010-0000-2E01-000001000000}" uniqueName="1">
      <xmlPr mapId="43" xpath="/ns1:Root/ns1:Prog/ns1:Target_P12_3" xmlDataType="double"/>
    </xmlCellPr>
  </singleXmlCell>
  <singleXmlCell id="624" xr6:uid="{00000000-000C-0000-FFFF-FFFF2F010000}" r="R123" connectionId="0">
    <xmlCellPr id="1" xr6:uid="{00000000-0010-0000-2F01-000001000000}" uniqueName="1">
      <xmlPr mapId="43" xpath="/ns1:Root/ns1:Prog/ns1:Target_P11_3" xmlDataType="string"/>
    </xmlCellPr>
  </singleXmlCell>
  <singleXmlCell id="623" xr6:uid="{00000000-000C-0000-FFFF-FFFF30010000}" r="Q123" connectionId="0">
    <xmlCellPr id="1" xr6:uid="{00000000-0010-0000-3001-000001000000}" uniqueName="1">
      <xmlPr mapId="43" xpath="/ns1:Root/ns1:Prog/ns1:Target_P10_3" xmlDataType="string"/>
    </xmlCellPr>
  </singleXmlCell>
  <singleXmlCell id="622" xr6:uid="{00000000-000C-0000-FFFF-FFFF31010000}" r="P123" connectionId="0">
    <xmlCellPr id="1" xr6:uid="{00000000-0010-0000-3101-000001000000}" uniqueName="1">
      <xmlPr mapId="43" xpath="/ns1:Root/ns1:Prog/ns1:Target_P9_3" xmlDataType="double"/>
    </xmlCellPr>
  </singleXmlCell>
  <singleXmlCell id="621" xr6:uid="{00000000-000C-0000-FFFF-FFFF32010000}" r="O123" connectionId="0">
    <xmlCellPr id="1" xr6:uid="{00000000-0010-0000-3201-000001000000}" uniqueName="1">
      <xmlPr mapId="43" xpath="/ns1:Root/ns1:Prog/ns1:Target_P8_3" xmlDataType="double"/>
    </xmlCellPr>
  </singleXmlCell>
  <singleXmlCell id="620" xr6:uid="{00000000-000C-0000-FFFF-FFFF33010000}" r="N123" connectionId="0">
    <xmlCellPr id="1" xr6:uid="{00000000-0010-0000-3301-000001000000}" uniqueName="1">
      <xmlPr mapId="43" xpath="/ns1:Root/ns1:Prog/ns1:Target_P7_3" xmlDataType="double"/>
    </xmlCellPr>
  </singleXmlCell>
  <singleXmlCell id="619" xr6:uid="{00000000-000C-0000-FFFF-FFFF34010000}" r="M123" connectionId="0">
    <xmlCellPr id="1" xr6:uid="{00000000-0010-0000-3401-000001000000}" uniqueName="1">
      <xmlPr mapId="43" xpath="/ns1:Root/ns1:Prog/ns1:Target_P6_3" xmlDataType="double"/>
    </xmlCellPr>
  </singleXmlCell>
  <singleXmlCell id="618" xr6:uid="{00000000-000C-0000-FFFF-FFFF35010000}" r="L123" connectionId="0">
    <xmlCellPr id="1" xr6:uid="{00000000-0010-0000-3501-000001000000}" uniqueName="1">
      <xmlPr mapId="43" xpath="/ns1:Root/ns1:Prog/ns1:Target_P5_3" xmlDataType="double"/>
    </xmlCellPr>
  </singleXmlCell>
  <singleXmlCell id="617" xr6:uid="{00000000-000C-0000-FFFF-FFFF36010000}" r="K123" connectionId="0">
    <xmlCellPr id="1" xr6:uid="{00000000-0010-0000-3601-000001000000}" uniqueName="1">
      <xmlPr mapId="43" xpath="/ns1:Root/ns1:Prog/ns1:Target_P4_3" xmlDataType="double"/>
    </xmlCellPr>
  </singleXmlCell>
  <singleXmlCell id="616" xr6:uid="{00000000-000C-0000-FFFF-FFFF37010000}" r="J123" connectionId="0">
    <xmlCellPr id="1" xr6:uid="{00000000-0010-0000-3701-000001000000}" uniqueName="1">
      <xmlPr mapId="43" xpath="/ns1:Root/ns1:Prog/ns1:Target_P3_3" xmlDataType="double"/>
    </xmlCellPr>
  </singleXmlCell>
  <singleXmlCell id="615" xr6:uid="{00000000-000C-0000-FFFF-FFFF38010000}" r="I123" connectionId="0">
    <xmlCellPr id="1" xr6:uid="{00000000-0010-0000-3801-000001000000}" uniqueName="1">
      <xmlPr mapId="43" xpath="/ns1:Root/ns1:Prog/ns1:Target_P2_3" xmlDataType="double"/>
    </xmlCellPr>
  </singleXmlCell>
  <singleXmlCell id="614" xr6:uid="{00000000-000C-0000-FFFF-FFFF39010000}" r="H123" connectionId="0">
    <xmlCellPr id="1" xr6:uid="{00000000-0010-0000-3901-000001000000}"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H45" sqref="H45"/>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649" t="str">
        <f>+'Detail despre Grant'!B3:J3</f>
        <v>Tabel Programatic de Evaluare:  Moldova - HIVAIDS / TB</v>
      </c>
      <c r="C2" s="649"/>
      <c r="D2" s="649"/>
      <c r="E2" s="649"/>
      <c r="F2" s="649"/>
      <c r="G2" s="649"/>
      <c r="H2" s="649"/>
      <c r="I2" s="649"/>
      <c r="J2" s="649"/>
      <c r="K2" s="649"/>
      <c r="L2" s="649"/>
      <c r="M2" s="1"/>
      <c r="N2" s="1"/>
      <c r="O2" s="1"/>
    </row>
    <row r="4" spans="2:15" ht="21">
      <c r="B4" s="650" t="str">
        <f>+IF('Introducerea datelor'!G6="Please Select", "",'Introducerea datelor'!G6) &amp;"  "&amp;+IF('Introducerea datelor'!G8="Please Select", "", 'Introducerea datelor'!G8&amp;",  ")&amp;+IF('Introducerea datelor'!I8="Please Select","",'Introducerea datelor'!I8)</f>
        <v xml:space="preserve">HIVAIDS / TB  </v>
      </c>
      <c r="C4" s="650"/>
      <c r="D4" s="650"/>
      <c r="E4" s="651"/>
      <c r="F4" s="114"/>
      <c r="G4" s="114"/>
      <c r="H4" s="160" t="str">
        <f>+'Introducerea datelor'!B6&amp;" "&amp;+'Introducerea datelor'!C6</f>
        <v>No. Grantului : MDA-C-PCIMU</v>
      </c>
      <c r="I4" s="160"/>
      <c r="J4" s="113"/>
      <c r="K4" s="114"/>
      <c r="L4" s="114"/>
    </row>
    <row r="22" spans="2:12" ht="26.25">
      <c r="B22" s="652" t="s">
        <v>273</v>
      </c>
      <c r="C22" s="653"/>
      <c r="D22" s="653"/>
      <c r="E22" s="653"/>
      <c r="F22" s="653"/>
      <c r="G22" s="653"/>
      <c r="H22" s="653"/>
      <c r="I22" s="653"/>
      <c r="J22" s="653"/>
      <c r="K22" s="653"/>
      <c r="L22" s="653"/>
    </row>
  </sheetData>
  <mergeCells count="3">
    <mergeCell ref="B2:L2"/>
    <mergeCell ref="B4:E4"/>
    <mergeCell ref="B22:L22"/>
  </mergeCells>
  <phoneticPr fontId="22"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Q144"/>
  <sheetViews>
    <sheetView showGridLines="0" zoomScale="80" zoomScaleNormal="80" workbookViewId="0">
      <selection activeCell="F9" sqref="F9"/>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7" ht="25.5" customHeight="1"/>
    <row r="3" spans="2:17" ht="36">
      <c r="B3" s="975" t="str">
        <f>'Detail despre Grant'!B3:J3</f>
        <v>Tabel Programatic de Evaluare:  Moldova - HIVAIDS / TB</v>
      </c>
      <c r="C3" s="975"/>
      <c r="D3" s="975"/>
      <c r="E3" s="975"/>
      <c r="F3" s="975"/>
      <c r="G3" s="975"/>
      <c r="H3" s="975"/>
      <c r="I3" s="975"/>
      <c r="J3" s="975"/>
      <c r="K3" s="1"/>
    </row>
    <row r="6" spans="2:17" ht="18.75">
      <c r="B6" s="974" t="s">
        <v>245</v>
      </c>
      <c r="C6" s="974"/>
      <c r="D6" s="974"/>
      <c r="E6" s="974"/>
      <c r="F6" s="974"/>
      <c r="G6" s="974"/>
      <c r="H6" s="974"/>
      <c r="I6" s="974"/>
      <c r="J6" s="974"/>
    </row>
    <row r="8" spans="2:17" ht="18.75">
      <c r="B8" s="44" t="s">
        <v>13</v>
      </c>
      <c r="C8" s="44" t="s">
        <v>16</v>
      </c>
      <c r="D8" s="44" t="s">
        <v>17</v>
      </c>
      <c r="E8" s="44" t="s">
        <v>22</v>
      </c>
      <c r="F8" s="44" t="s">
        <v>229</v>
      </c>
      <c r="G8" s="44" t="s">
        <v>430</v>
      </c>
      <c r="H8" s="44" t="s">
        <v>431</v>
      </c>
      <c r="I8" s="44" t="s">
        <v>213</v>
      </c>
      <c r="J8" s="44" t="s">
        <v>232</v>
      </c>
      <c r="K8" s="45" t="s">
        <v>52</v>
      </c>
      <c r="L8" s="45" t="s">
        <v>78</v>
      </c>
      <c r="O8" s="19"/>
      <c r="P8" s="19"/>
      <c r="Q8" s="19"/>
    </row>
    <row r="9" spans="2:17">
      <c r="B9" s="55" t="s">
        <v>268</v>
      </c>
      <c r="C9" s="55" t="s">
        <v>268</v>
      </c>
      <c r="D9" s="55" t="s">
        <v>268</v>
      </c>
      <c r="E9" s="55" t="s">
        <v>268</v>
      </c>
      <c r="F9" s="55" t="s">
        <v>268</v>
      </c>
      <c r="G9" s="55"/>
      <c r="H9" s="55"/>
      <c r="I9" s="55" t="s">
        <v>268</v>
      </c>
      <c r="J9" s="55" t="s">
        <v>268</v>
      </c>
      <c r="K9" s="177" t="s">
        <v>268</v>
      </c>
      <c r="L9" s="55" t="s">
        <v>268</v>
      </c>
      <c r="O9" s="19"/>
      <c r="P9" s="19"/>
      <c r="Q9" s="19"/>
    </row>
    <row r="10" spans="2:17">
      <c r="B10" s="39" t="s">
        <v>12</v>
      </c>
      <c r="C10" s="39" t="s">
        <v>7</v>
      </c>
      <c r="D10" s="39" t="s">
        <v>5</v>
      </c>
      <c r="E10" s="39" t="s">
        <v>6</v>
      </c>
      <c r="F10" s="39" t="s">
        <v>60</v>
      </c>
      <c r="G10" s="262">
        <v>43101</v>
      </c>
      <c r="H10" s="262">
        <v>43281</v>
      </c>
      <c r="I10" s="180" t="s">
        <v>24</v>
      </c>
      <c r="J10" s="42" t="s">
        <v>29</v>
      </c>
      <c r="K10" s="23" t="s">
        <v>235</v>
      </c>
      <c r="L10" s="55" t="s">
        <v>79</v>
      </c>
      <c r="O10" s="19"/>
      <c r="P10" s="19"/>
      <c r="Q10" s="19"/>
    </row>
    <row r="11" spans="2:17">
      <c r="B11" s="39" t="s">
        <v>14</v>
      </c>
      <c r="C11" s="39" t="s">
        <v>2</v>
      </c>
      <c r="D11" s="39" t="s">
        <v>8</v>
      </c>
      <c r="E11" s="39" t="s">
        <v>4</v>
      </c>
      <c r="F11" s="39" t="s">
        <v>61</v>
      </c>
      <c r="G11" s="262">
        <v>43282</v>
      </c>
      <c r="H11" s="262">
        <v>43465</v>
      </c>
      <c r="I11" s="180" t="s">
        <v>25</v>
      </c>
      <c r="J11" s="42" t="s">
        <v>30</v>
      </c>
      <c r="K11" s="23" t="s">
        <v>236</v>
      </c>
      <c r="L11" s="55" t="s">
        <v>80</v>
      </c>
      <c r="O11" s="19"/>
      <c r="P11" s="19"/>
      <c r="Q11" s="19"/>
    </row>
    <row r="12" spans="2:17">
      <c r="B12" s="39" t="s">
        <v>15</v>
      </c>
      <c r="D12" s="39" t="s">
        <v>9</v>
      </c>
      <c r="E12" s="39" t="s">
        <v>10</v>
      </c>
      <c r="F12" s="39" t="s">
        <v>62</v>
      </c>
      <c r="G12" s="262">
        <v>43466</v>
      </c>
      <c r="H12" s="262">
        <v>43646</v>
      </c>
      <c r="I12" s="180" t="s">
        <v>26</v>
      </c>
      <c r="J12" s="42" t="s">
        <v>31</v>
      </c>
      <c r="K12" s="23" t="s">
        <v>237</v>
      </c>
      <c r="L12" s="55" t="s">
        <v>81</v>
      </c>
      <c r="O12" s="101"/>
      <c r="P12" s="19"/>
      <c r="Q12" s="19"/>
    </row>
    <row r="13" spans="2:17">
      <c r="B13" s="39" t="s">
        <v>50</v>
      </c>
      <c r="D13" s="39" t="s">
        <v>11</v>
      </c>
      <c r="E13" s="40"/>
      <c r="F13" s="39" t="s">
        <v>63</v>
      </c>
      <c r="G13" s="262">
        <v>43647</v>
      </c>
      <c r="H13" s="262">
        <v>43830</v>
      </c>
      <c r="I13" s="180" t="s">
        <v>27</v>
      </c>
      <c r="J13" s="42" t="s">
        <v>32</v>
      </c>
      <c r="K13" s="23" t="s">
        <v>238</v>
      </c>
      <c r="L13" s="55" t="s">
        <v>82</v>
      </c>
      <c r="O13" s="101"/>
      <c r="P13" s="19"/>
      <c r="Q13" s="19"/>
    </row>
    <row r="14" spans="2:17">
      <c r="B14" s="39" t="s">
        <v>51</v>
      </c>
      <c r="D14" s="39" t="s">
        <v>18</v>
      </c>
      <c r="F14" s="39" t="s">
        <v>70</v>
      </c>
      <c r="G14" s="262">
        <v>43831</v>
      </c>
      <c r="H14" s="262">
        <v>44012</v>
      </c>
      <c r="I14" s="180" t="s">
        <v>28</v>
      </c>
      <c r="J14" s="42" t="s">
        <v>33</v>
      </c>
      <c r="K14" s="23" t="s">
        <v>214</v>
      </c>
      <c r="L14" s="55" t="s">
        <v>83</v>
      </c>
      <c r="O14" s="101"/>
      <c r="P14" s="19"/>
      <c r="Q14" s="19"/>
    </row>
    <row r="15" spans="2:17">
      <c r="D15" s="39" t="s">
        <v>19</v>
      </c>
      <c r="F15" s="39" t="s">
        <v>71</v>
      </c>
      <c r="G15" s="262">
        <v>44013</v>
      </c>
      <c r="H15" s="262">
        <v>44196</v>
      </c>
      <c r="J15" s="42" t="s">
        <v>34</v>
      </c>
      <c r="K15" s="23" t="s">
        <v>40</v>
      </c>
      <c r="L15" s="55" t="s">
        <v>84</v>
      </c>
      <c r="O15" s="101"/>
      <c r="P15" s="19"/>
      <c r="Q15" s="19"/>
    </row>
    <row r="16" spans="2:17">
      <c r="D16" s="39" t="s">
        <v>20</v>
      </c>
      <c r="F16" s="39" t="s">
        <v>72</v>
      </c>
      <c r="G16" s="262" t="s">
        <v>432</v>
      </c>
      <c r="H16" s="262" t="s">
        <v>432</v>
      </c>
      <c r="J16" s="42" t="s">
        <v>35</v>
      </c>
      <c r="K16" s="23" t="s">
        <v>41</v>
      </c>
      <c r="L16" s="55" t="s">
        <v>85</v>
      </c>
      <c r="O16" s="101"/>
      <c r="P16" s="19"/>
      <c r="Q16" s="19"/>
    </row>
    <row r="17" spans="4:17">
      <c r="D17" s="39" t="s">
        <v>21</v>
      </c>
      <c r="F17" s="39" t="s">
        <v>73</v>
      </c>
      <c r="G17" s="262" t="s">
        <v>432</v>
      </c>
      <c r="H17" s="262" t="s">
        <v>432</v>
      </c>
      <c r="J17" s="42" t="s">
        <v>36</v>
      </c>
      <c r="K17" s="23" t="s">
        <v>42</v>
      </c>
      <c r="L17" s="55" t="s">
        <v>86</v>
      </c>
      <c r="O17" s="101"/>
      <c r="P17" s="19"/>
      <c r="Q17" s="19"/>
    </row>
    <row r="18" spans="4:17">
      <c r="D18" s="39" t="s">
        <v>3</v>
      </c>
      <c r="F18" s="39" t="s">
        <v>74</v>
      </c>
      <c r="G18" s="262" t="s">
        <v>432</v>
      </c>
      <c r="H18" s="262" t="s">
        <v>432</v>
      </c>
      <c r="J18" s="42" t="s">
        <v>37</v>
      </c>
      <c r="K18" s="23" t="s">
        <v>43</v>
      </c>
      <c r="L18" s="55" t="s">
        <v>87</v>
      </c>
      <c r="O18" s="101"/>
      <c r="P18" s="19"/>
      <c r="Q18" s="19"/>
    </row>
    <row r="19" spans="4:17">
      <c r="D19" s="179" t="s">
        <v>267</v>
      </c>
      <c r="F19" s="39" t="s">
        <v>75</v>
      </c>
      <c r="G19" s="262" t="s">
        <v>432</v>
      </c>
      <c r="H19" s="262" t="s">
        <v>432</v>
      </c>
      <c r="J19" s="42" t="s">
        <v>38</v>
      </c>
      <c r="K19" s="23" t="s">
        <v>44</v>
      </c>
      <c r="L19" s="55" t="s">
        <v>88</v>
      </c>
      <c r="O19" s="101"/>
      <c r="P19" s="19"/>
      <c r="Q19" s="19"/>
    </row>
    <row r="20" spans="4:17">
      <c r="D20" s="41"/>
      <c r="F20" s="39" t="s">
        <v>76</v>
      </c>
      <c r="G20" s="262" t="s">
        <v>432</v>
      </c>
      <c r="H20" s="262" t="s">
        <v>432</v>
      </c>
      <c r="J20" s="42" t="s">
        <v>211</v>
      </c>
      <c r="K20" s="23" t="s">
        <v>45</v>
      </c>
      <c r="L20" s="55" t="s">
        <v>89</v>
      </c>
      <c r="O20" s="19"/>
      <c r="P20" s="19"/>
      <c r="Q20" s="19"/>
    </row>
    <row r="21" spans="4:17">
      <c r="D21" s="43"/>
      <c r="F21" s="39" t="s">
        <v>230</v>
      </c>
      <c r="G21" s="262" t="s">
        <v>432</v>
      </c>
      <c r="H21" s="262" t="s">
        <v>432</v>
      </c>
      <c r="J21" s="43"/>
      <c r="K21" s="23" t="s">
        <v>47</v>
      </c>
      <c r="L21" s="55" t="s">
        <v>90</v>
      </c>
      <c r="O21" s="19"/>
      <c r="P21" s="19"/>
      <c r="Q21" s="19"/>
    </row>
    <row r="22" spans="4:17">
      <c r="J22" s="43"/>
      <c r="K22" s="23" t="s">
        <v>48</v>
      </c>
      <c r="L22" s="55" t="s">
        <v>91</v>
      </c>
      <c r="O22" s="19"/>
      <c r="P22" s="19"/>
      <c r="Q22" s="19"/>
    </row>
    <row r="23" spans="4:17">
      <c r="K23" s="23" t="s">
        <v>46</v>
      </c>
      <c r="L23" s="55" t="s">
        <v>92</v>
      </c>
      <c r="O23" s="19"/>
      <c r="P23" s="19"/>
      <c r="Q23" s="19"/>
    </row>
    <row r="24" spans="4:17">
      <c r="K24" s="23" t="s">
        <v>240</v>
      </c>
      <c r="L24" s="55" t="s">
        <v>93</v>
      </c>
      <c r="O24" s="19"/>
      <c r="P24" s="19"/>
      <c r="Q24" s="19"/>
    </row>
    <row r="25" spans="4:17">
      <c r="K25" s="30"/>
      <c r="L25" s="55" t="s">
        <v>94</v>
      </c>
    </row>
    <row r="26" spans="4:17">
      <c r="K26" s="23" t="s">
        <v>241</v>
      </c>
      <c r="L26" s="55" t="s">
        <v>95</v>
      </c>
    </row>
    <row r="27" spans="4:17">
      <c r="K27" s="23" t="s">
        <v>239</v>
      </c>
      <c r="L27" s="55" t="s">
        <v>96</v>
      </c>
    </row>
    <row r="28" spans="4:17">
      <c r="K28" s="30"/>
      <c r="L28" s="55" t="s">
        <v>97</v>
      </c>
    </row>
    <row r="29" spans="4:17">
      <c r="K29" s="30"/>
      <c r="L29" s="55" t="s">
        <v>98</v>
      </c>
    </row>
    <row r="30" spans="4:17">
      <c r="K30" s="30"/>
      <c r="L30" s="55" t="s">
        <v>99</v>
      </c>
    </row>
    <row r="31" spans="4:17">
      <c r="L31" s="55" t="s">
        <v>100</v>
      </c>
    </row>
    <row r="32" spans="4:17">
      <c r="L32" s="55" t="s">
        <v>101</v>
      </c>
    </row>
    <row r="33" spans="12:12">
      <c r="L33" s="55" t="s">
        <v>102</v>
      </c>
    </row>
    <row r="34" spans="12:12">
      <c r="L34" s="55" t="s">
        <v>103</v>
      </c>
    </row>
    <row r="35" spans="12:12">
      <c r="L35" s="55" t="s">
        <v>104</v>
      </c>
    </row>
    <row r="36" spans="12:12">
      <c r="L36" s="55" t="s">
        <v>104</v>
      </c>
    </row>
    <row r="37" spans="12:12">
      <c r="L37" s="55" t="s">
        <v>105</v>
      </c>
    </row>
    <row r="38" spans="12:12">
      <c r="L38" s="55" t="s">
        <v>106</v>
      </c>
    </row>
    <row r="39" spans="12:12">
      <c r="L39" s="55" t="s">
        <v>107</v>
      </c>
    </row>
    <row r="40" spans="12:12">
      <c r="L40" s="55" t="s">
        <v>108</v>
      </c>
    </row>
    <row r="41" spans="12:12">
      <c r="L41" s="55" t="s">
        <v>109</v>
      </c>
    </row>
    <row r="42" spans="12:12">
      <c r="L42" s="55" t="s">
        <v>110</v>
      </c>
    </row>
    <row r="43" spans="12:12">
      <c r="L43" s="55" t="s">
        <v>111</v>
      </c>
    </row>
    <row r="44" spans="12:12">
      <c r="L44" s="55" t="s">
        <v>112</v>
      </c>
    </row>
    <row r="45" spans="12:12">
      <c r="L45" s="55" t="s">
        <v>113</v>
      </c>
    </row>
    <row r="46" spans="12:12">
      <c r="L46" s="55" t="s">
        <v>114</v>
      </c>
    </row>
    <row r="47" spans="12:12">
      <c r="L47" s="55" t="s">
        <v>115</v>
      </c>
    </row>
    <row r="48" spans="12:12">
      <c r="L48" s="55" t="s">
        <v>116</v>
      </c>
    </row>
    <row r="49" spans="12:12">
      <c r="L49" s="55" t="s">
        <v>117</v>
      </c>
    </row>
    <row r="50" spans="12:12">
      <c r="L50" s="55" t="s">
        <v>118</v>
      </c>
    </row>
    <row r="51" spans="12:12">
      <c r="L51" s="55" t="s">
        <v>119</v>
      </c>
    </row>
    <row r="52" spans="12:12">
      <c r="L52" s="55" t="s">
        <v>120</v>
      </c>
    </row>
    <row r="53" spans="12:12">
      <c r="L53" s="55" t="s">
        <v>121</v>
      </c>
    </row>
    <row r="54" spans="12:12">
      <c r="L54" s="55" t="s">
        <v>122</v>
      </c>
    </row>
    <row r="55" spans="12:12">
      <c r="L55" s="55" t="s">
        <v>123</v>
      </c>
    </row>
    <row r="56" spans="12:12">
      <c r="L56" s="55" t="s">
        <v>124</v>
      </c>
    </row>
    <row r="57" spans="12:12">
      <c r="L57" s="55" t="s">
        <v>125</v>
      </c>
    </row>
    <row r="58" spans="12:12">
      <c r="L58" s="55" t="s">
        <v>126</v>
      </c>
    </row>
    <row r="59" spans="12:12">
      <c r="L59" s="55" t="s">
        <v>127</v>
      </c>
    </row>
    <row r="60" spans="12:12">
      <c r="L60" s="55" t="s">
        <v>128</v>
      </c>
    </row>
    <row r="61" spans="12:12">
      <c r="L61" s="55" t="s">
        <v>129</v>
      </c>
    </row>
    <row r="62" spans="12:12">
      <c r="L62" s="55" t="s">
        <v>130</v>
      </c>
    </row>
    <row r="63" spans="12:12">
      <c r="L63" s="55" t="s">
        <v>131</v>
      </c>
    </row>
    <row r="64" spans="12:12">
      <c r="L64" s="55" t="s">
        <v>132</v>
      </c>
    </row>
    <row r="65" spans="12:12">
      <c r="L65" s="55" t="s">
        <v>133</v>
      </c>
    </row>
    <row r="66" spans="12:12">
      <c r="L66" s="55" t="s">
        <v>134</v>
      </c>
    </row>
    <row r="67" spans="12:12">
      <c r="L67" s="55" t="s">
        <v>135</v>
      </c>
    </row>
    <row r="68" spans="12:12">
      <c r="L68" s="55" t="s">
        <v>136</v>
      </c>
    </row>
    <row r="69" spans="12:12">
      <c r="L69" s="55" t="s">
        <v>137</v>
      </c>
    </row>
    <row r="70" spans="12:12">
      <c r="L70" s="55" t="s">
        <v>138</v>
      </c>
    </row>
    <row r="71" spans="12:12">
      <c r="L71" s="55" t="s">
        <v>139</v>
      </c>
    </row>
    <row r="72" spans="12:12">
      <c r="L72" s="55" t="s">
        <v>140</v>
      </c>
    </row>
    <row r="73" spans="12:12">
      <c r="L73" s="55" t="s">
        <v>141</v>
      </c>
    </row>
    <row r="74" spans="12:12">
      <c r="L74" s="55" t="s">
        <v>142</v>
      </c>
    </row>
    <row r="75" spans="12:12">
      <c r="L75" s="55" t="s">
        <v>143</v>
      </c>
    </row>
    <row r="76" spans="12:12">
      <c r="L76" s="55" t="s">
        <v>144</v>
      </c>
    </row>
    <row r="77" spans="12:12">
      <c r="L77" s="55" t="s">
        <v>145</v>
      </c>
    </row>
    <row r="78" spans="12:12">
      <c r="L78" s="55" t="s">
        <v>146</v>
      </c>
    </row>
    <row r="79" spans="12:12">
      <c r="L79" s="55" t="s">
        <v>147</v>
      </c>
    </row>
    <row r="80" spans="12:12">
      <c r="L80" s="55" t="s">
        <v>148</v>
      </c>
    </row>
    <row r="81" spans="12:12">
      <c r="L81" s="55" t="s">
        <v>149</v>
      </c>
    </row>
    <row r="82" spans="12:12">
      <c r="L82" s="55" t="s">
        <v>150</v>
      </c>
    </row>
    <row r="83" spans="12:12">
      <c r="L83" s="55" t="s">
        <v>151</v>
      </c>
    </row>
    <row r="84" spans="12:12">
      <c r="L84" s="55" t="s">
        <v>152</v>
      </c>
    </row>
    <row r="85" spans="12:12">
      <c r="L85" s="55" t="s">
        <v>153</v>
      </c>
    </row>
    <row r="86" spans="12:12">
      <c r="L86" s="55" t="s">
        <v>154</v>
      </c>
    </row>
    <row r="87" spans="12:12">
      <c r="L87" s="55" t="s">
        <v>155</v>
      </c>
    </row>
    <row r="88" spans="12:12">
      <c r="L88" s="55" t="s">
        <v>156</v>
      </c>
    </row>
    <row r="89" spans="12:12">
      <c r="L89" s="55" t="s">
        <v>157</v>
      </c>
    </row>
    <row r="90" spans="12:12">
      <c r="L90" s="55" t="s">
        <v>158</v>
      </c>
    </row>
    <row r="91" spans="12:12">
      <c r="L91" s="55" t="s">
        <v>159</v>
      </c>
    </row>
    <row r="92" spans="12:12">
      <c r="L92" s="55" t="s">
        <v>160</v>
      </c>
    </row>
    <row r="93" spans="12:12">
      <c r="L93" s="55" t="s">
        <v>161</v>
      </c>
    </row>
    <row r="94" spans="12:12">
      <c r="L94" s="55" t="s">
        <v>162</v>
      </c>
    </row>
    <row r="95" spans="12:12">
      <c r="L95" s="55" t="s">
        <v>163</v>
      </c>
    </row>
    <row r="96" spans="12:12">
      <c r="L96" s="55" t="s">
        <v>164</v>
      </c>
    </row>
    <row r="97" spans="12:12">
      <c r="L97" s="55" t="s">
        <v>165</v>
      </c>
    </row>
    <row r="98" spans="12:12">
      <c r="L98" s="55" t="s">
        <v>166</v>
      </c>
    </row>
    <row r="99" spans="12:12">
      <c r="L99" s="55" t="s">
        <v>167</v>
      </c>
    </row>
    <row r="100" spans="12:12">
      <c r="L100" s="55" t="s">
        <v>168</v>
      </c>
    </row>
    <row r="101" spans="12:12">
      <c r="L101" s="55" t="s">
        <v>169</v>
      </c>
    </row>
    <row r="102" spans="12:12">
      <c r="L102" s="55" t="s">
        <v>170</v>
      </c>
    </row>
    <row r="103" spans="12:12">
      <c r="L103" s="55" t="s">
        <v>171</v>
      </c>
    </row>
    <row r="104" spans="12:12">
      <c r="L104" s="55" t="s">
        <v>172</v>
      </c>
    </row>
    <row r="105" spans="12:12">
      <c r="L105" s="55" t="s">
        <v>173</v>
      </c>
    </row>
    <row r="106" spans="12:12">
      <c r="L106" s="55" t="s">
        <v>174</v>
      </c>
    </row>
    <row r="107" spans="12:12">
      <c r="L107" s="55" t="s">
        <v>175</v>
      </c>
    </row>
    <row r="108" spans="12:12">
      <c r="L108" s="55" t="s">
        <v>176</v>
      </c>
    </row>
    <row r="109" spans="12:12">
      <c r="L109" s="55" t="s">
        <v>177</v>
      </c>
    </row>
    <row r="110" spans="12:12">
      <c r="L110" s="55" t="s">
        <v>178</v>
      </c>
    </row>
    <row r="111" spans="12:12">
      <c r="L111" s="55" t="s">
        <v>49</v>
      </c>
    </row>
    <row r="112" spans="12:12">
      <c r="L112" s="55" t="s">
        <v>179</v>
      </c>
    </row>
    <row r="113" spans="12:12">
      <c r="L113" s="55" t="s">
        <v>180</v>
      </c>
    </row>
    <row r="114" spans="12:12">
      <c r="L114" s="55" t="s">
        <v>181</v>
      </c>
    </row>
    <row r="115" spans="12:12">
      <c r="L115" s="55" t="s">
        <v>182</v>
      </c>
    </row>
    <row r="116" spans="12:12">
      <c r="L116" s="55" t="s">
        <v>183</v>
      </c>
    </row>
    <row r="117" spans="12:12">
      <c r="L117" s="55" t="s">
        <v>184</v>
      </c>
    </row>
    <row r="118" spans="12:12">
      <c r="L118" s="55" t="s">
        <v>185</v>
      </c>
    </row>
    <row r="119" spans="12:12">
      <c r="L119" s="55" t="s">
        <v>186</v>
      </c>
    </row>
    <row r="120" spans="12:12">
      <c r="L120" s="55" t="s">
        <v>187</v>
      </c>
    </row>
    <row r="121" spans="12:12">
      <c r="L121" s="55" t="s">
        <v>188</v>
      </c>
    </row>
    <row r="122" spans="12:12">
      <c r="L122" s="55" t="s">
        <v>189</v>
      </c>
    </row>
    <row r="123" spans="12:12">
      <c r="L123" s="55" t="s">
        <v>190</v>
      </c>
    </row>
    <row r="124" spans="12:12">
      <c r="L124" s="55" t="s">
        <v>191</v>
      </c>
    </row>
    <row r="125" spans="12:12">
      <c r="L125" s="55" t="s">
        <v>192</v>
      </c>
    </row>
    <row r="126" spans="12:12">
      <c r="L126" s="55" t="s">
        <v>193</v>
      </c>
    </row>
    <row r="127" spans="12:12">
      <c r="L127" s="55" t="s">
        <v>194</v>
      </c>
    </row>
    <row r="128" spans="12:12">
      <c r="L128" s="55" t="s">
        <v>195</v>
      </c>
    </row>
    <row r="129" spans="12:12">
      <c r="L129" s="55" t="s">
        <v>196</v>
      </c>
    </row>
    <row r="130" spans="12:12">
      <c r="L130" s="55" t="s">
        <v>197</v>
      </c>
    </row>
    <row r="131" spans="12:12">
      <c r="L131" s="55" t="s">
        <v>198</v>
      </c>
    </row>
    <row r="132" spans="12:12">
      <c r="L132" s="55" t="s">
        <v>199</v>
      </c>
    </row>
    <row r="133" spans="12:12">
      <c r="L133" s="55" t="s">
        <v>200</v>
      </c>
    </row>
    <row r="134" spans="12:12">
      <c r="L134" s="55" t="s">
        <v>201</v>
      </c>
    </row>
    <row r="135" spans="12:12">
      <c r="L135" s="55" t="s">
        <v>202</v>
      </c>
    </row>
    <row r="136" spans="12:12">
      <c r="L136" s="55" t="s">
        <v>203</v>
      </c>
    </row>
    <row r="137" spans="12:12">
      <c r="L137" s="55" t="s">
        <v>204</v>
      </c>
    </row>
    <row r="138" spans="12:12">
      <c r="L138" s="55" t="s">
        <v>205</v>
      </c>
    </row>
    <row r="139" spans="12:12">
      <c r="L139" s="55" t="s">
        <v>206</v>
      </c>
    </row>
    <row r="140" spans="12:12">
      <c r="L140" s="55" t="s">
        <v>207</v>
      </c>
    </row>
    <row r="141" spans="12:12">
      <c r="L141" s="55" t="s">
        <v>208</v>
      </c>
    </row>
    <row r="142" spans="12:12">
      <c r="L142" s="55" t="s">
        <v>209</v>
      </c>
    </row>
    <row r="143" spans="12:12">
      <c r="L143" s="55" t="s">
        <v>210</v>
      </c>
    </row>
    <row r="144" spans="12:12">
      <c r="L144" s="176"/>
    </row>
  </sheetData>
  <mergeCells count="2">
    <mergeCell ref="B3:J3"/>
    <mergeCell ref="B6:J6"/>
  </mergeCells>
  <phoneticPr fontId="22"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25"/>
  <sheetViews>
    <sheetView zoomScale="85" zoomScaleNormal="85" workbookViewId="0">
      <pane xSplit="1" ySplit="1" topLeftCell="B56" activePane="bottomRight" state="frozen"/>
      <selection pane="topRight" activeCell="B1" sqref="B1"/>
      <selection pane="bottomLeft" activeCell="A2" sqref="A2"/>
      <selection pane="bottomRight" activeCell="D58" sqref="D58:F110"/>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268" t="s">
        <v>461</v>
      </c>
      <c r="B1" s="286" t="s">
        <v>459</v>
      </c>
      <c r="C1" s="268" t="s">
        <v>460</v>
      </c>
      <c r="D1" s="268" t="s">
        <v>250</v>
      </c>
      <c r="E1" s="268" t="s">
        <v>458</v>
      </c>
      <c r="F1" s="268" t="s">
        <v>404</v>
      </c>
      <c r="G1" s="287" t="s">
        <v>405</v>
      </c>
    </row>
    <row r="2" spans="1:7" ht="45">
      <c r="A2" s="261">
        <v>1</v>
      </c>
      <c r="B2" s="285" t="s">
        <v>442</v>
      </c>
      <c r="C2" s="30" t="s">
        <v>15</v>
      </c>
      <c r="D2" s="341" t="s">
        <v>466</v>
      </c>
      <c r="E2" s="342" t="s">
        <v>479</v>
      </c>
      <c r="F2" s="343" t="s">
        <v>406</v>
      </c>
      <c r="G2" s="344" t="s">
        <v>464</v>
      </c>
    </row>
    <row r="3" spans="1:7" ht="62.25" customHeight="1">
      <c r="A3" s="261">
        <v>2</v>
      </c>
      <c r="B3" s="285" t="s">
        <v>442</v>
      </c>
      <c r="C3" s="30" t="s">
        <v>15</v>
      </c>
      <c r="D3" s="341" t="s">
        <v>467</v>
      </c>
      <c r="E3" s="342" t="s">
        <v>471</v>
      </c>
      <c r="F3" s="343" t="s">
        <v>406</v>
      </c>
      <c r="G3" s="344" t="s">
        <v>464</v>
      </c>
    </row>
    <row r="4" spans="1:7" ht="57">
      <c r="A4" s="261">
        <v>3</v>
      </c>
      <c r="B4" s="285" t="s">
        <v>442</v>
      </c>
      <c r="C4" s="30" t="s">
        <v>457</v>
      </c>
      <c r="D4" s="280" t="s">
        <v>438</v>
      </c>
      <c r="E4" s="281" t="s">
        <v>470</v>
      </c>
      <c r="F4" s="282" t="s">
        <v>406</v>
      </c>
      <c r="G4" s="270" t="s">
        <v>469</v>
      </c>
    </row>
    <row r="5" spans="1:7" ht="42.75">
      <c r="A5" s="261">
        <v>4</v>
      </c>
      <c r="B5" s="285" t="s">
        <v>442</v>
      </c>
      <c r="C5" s="30" t="s">
        <v>457</v>
      </c>
      <c r="D5" s="280" t="s">
        <v>472</v>
      </c>
      <c r="E5" s="281" t="s">
        <v>468</v>
      </c>
      <c r="F5" s="282" t="s">
        <v>439</v>
      </c>
      <c r="G5" s="347" t="s">
        <v>503</v>
      </c>
    </row>
    <row r="6" spans="1:7" ht="30">
      <c r="A6" s="261">
        <v>5</v>
      </c>
      <c r="B6" s="285" t="s">
        <v>442</v>
      </c>
      <c r="C6" s="30" t="s">
        <v>457</v>
      </c>
      <c r="D6" s="280" t="s">
        <v>473</v>
      </c>
      <c r="E6" s="281" t="s">
        <v>440</v>
      </c>
      <c r="F6" s="282" t="s">
        <v>439</v>
      </c>
      <c r="G6" s="347" t="s">
        <v>504</v>
      </c>
    </row>
    <row r="7" spans="1:7" ht="30">
      <c r="A7" s="261">
        <v>6</v>
      </c>
      <c r="B7" s="285" t="s">
        <v>442</v>
      </c>
      <c r="C7" s="30" t="s">
        <v>457</v>
      </c>
      <c r="D7" s="280" t="s">
        <v>474</v>
      </c>
      <c r="E7" s="283" t="s">
        <v>441</v>
      </c>
      <c r="F7" s="284" t="s">
        <v>439</v>
      </c>
      <c r="G7" s="347" t="s">
        <v>504</v>
      </c>
    </row>
    <row r="8" spans="1:7" ht="57">
      <c r="A8" s="261">
        <v>7</v>
      </c>
      <c r="B8" s="285" t="s">
        <v>448</v>
      </c>
      <c r="C8" s="30" t="s">
        <v>15</v>
      </c>
      <c r="D8" s="341" t="s">
        <v>475</v>
      </c>
      <c r="E8" s="343" t="s">
        <v>477</v>
      </c>
      <c r="F8" s="343" t="s">
        <v>415</v>
      </c>
      <c r="G8" s="344" t="s">
        <v>464</v>
      </c>
    </row>
    <row r="9" spans="1:7" ht="57">
      <c r="A9" s="261">
        <v>8</v>
      </c>
      <c r="B9" s="285" t="s">
        <v>448</v>
      </c>
      <c r="C9" s="30" t="s">
        <v>15</v>
      </c>
      <c r="D9" s="341" t="s">
        <v>476</v>
      </c>
      <c r="E9" s="343" t="s">
        <v>478</v>
      </c>
      <c r="F9" s="343" t="s">
        <v>415</v>
      </c>
      <c r="G9" s="344" t="s">
        <v>464</v>
      </c>
    </row>
    <row r="10" spans="1:7" ht="57">
      <c r="A10" s="261">
        <v>9</v>
      </c>
      <c r="B10" s="285" t="s">
        <v>448</v>
      </c>
      <c r="C10" s="30" t="s">
        <v>15</v>
      </c>
      <c r="D10" s="341" t="s">
        <v>480</v>
      </c>
      <c r="E10" s="343" t="s">
        <v>481</v>
      </c>
      <c r="F10" s="343" t="s">
        <v>406</v>
      </c>
      <c r="G10" s="344" t="s">
        <v>482</v>
      </c>
    </row>
    <row r="11" spans="1:7" ht="85.5">
      <c r="A11" s="261">
        <v>10</v>
      </c>
      <c r="B11" s="285" t="s">
        <v>448</v>
      </c>
      <c r="C11" s="30" t="s">
        <v>457</v>
      </c>
      <c r="D11" s="280" t="s">
        <v>483</v>
      </c>
      <c r="E11" s="282" t="s">
        <v>484</v>
      </c>
      <c r="F11" s="282" t="s">
        <v>406</v>
      </c>
      <c r="G11" s="270" t="s">
        <v>502</v>
      </c>
    </row>
    <row r="12" spans="1:7" ht="60">
      <c r="A12" s="261">
        <v>11</v>
      </c>
      <c r="B12" s="285" t="s">
        <v>448</v>
      </c>
      <c r="C12" s="30" t="s">
        <v>457</v>
      </c>
      <c r="D12" s="280" t="s">
        <v>443</v>
      </c>
      <c r="E12" s="282" t="s">
        <v>463</v>
      </c>
      <c r="F12" s="282" t="s">
        <v>439</v>
      </c>
      <c r="G12" s="347" t="s">
        <v>504</v>
      </c>
    </row>
    <row r="13" spans="1:7" ht="45">
      <c r="A13" s="261">
        <v>12</v>
      </c>
      <c r="B13" s="285" t="s">
        <v>448</v>
      </c>
      <c r="C13" s="30" t="s">
        <v>457</v>
      </c>
      <c r="D13" s="280" t="s">
        <v>444</v>
      </c>
      <c r="E13" s="282" t="s">
        <v>446</v>
      </c>
      <c r="F13" s="282" t="s">
        <v>439</v>
      </c>
      <c r="G13" s="347" t="s">
        <v>504</v>
      </c>
    </row>
    <row r="14" spans="1:7" ht="60">
      <c r="A14" s="261">
        <v>13</v>
      </c>
      <c r="B14" s="285" t="s">
        <v>448</v>
      </c>
      <c r="C14" s="30" t="s">
        <v>457</v>
      </c>
      <c r="D14" s="280" t="s">
        <v>445</v>
      </c>
      <c r="E14" s="284" t="s">
        <v>447</v>
      </c>
      <c r="F14" s="284" t="s">
        <v>439</v>
      </c>
      <c r="G14" s="347" t="s">
        <v>504</v>
      </c>
    </row>
    <row r="15" spans="1:7" ht="45">
      <c r="A15" s="261">
        <v>14</v>
      </c>
      <c r="B15" s="285" t="s">
        <v>456</v>
      </c>
      <c r="C15" s="30" t="s">
        <v>15</v>
      </c>
      <c r="D15" s="341" t="s">
        <v>485</v>
      </c>
      <c r="E15" s="343" t="s">
        <v>488</v>
      </c>
      <c r="F15" s="282" t="s">
        <v>406</v>
      </c>
      <c r="G15" s="344" t="s">
        <v>424</v>
      </c>
    </row>
    <row r="16" spans="1:7" ht="75">
      <c r="A16" s="261">
        <v>15</v>
      </c>
      <c r="B16" s="285" t="s">
        <v>456</v>
      </c>
      <c r="C16" s="30" t="s">
        <v>15</v>
      </c>
      <c r="D16" s="341" t="s">
        <v>486</v>
      </c>
      <c r="E16" s="343" t="s">
        <v>487</v>
      </c>
      <c r="F16" s="282" t="s">
        <v>406</v>
      </c>
      <c r="G16" s="344" t="s">
        <v>422</v>
      </c>
    </row>
    <row r="17" spans="1:7" ht="57">
      <c r="A17" s="261">
        <v>16</v>
      </c>
      <c r="B17" s="285" t="s">
        <v>456</v>
      </c>
      <c r="C17" s="30" t="s">
        <v>15</v>
      </c>
      <c r="D17" s="341" t="s">
        <v>489</v>
      </c>
      <c r="E17" s="343" t="s">
        <v>490</v>
      </c>
      <c r="F17" s="282" t="s">
        <v>406</v>
      </c>
      <c r="G17" s="344" t="s">
        <v>423</v>
      </c>
    </row>
    <row r="18" spans="1:7" ht="49.5" customHeight="1">
      <c r="A18" s="261">
        <v>17</v>
      </c>
      <c r="B18" s="285" t="s">
        <v>456</v>
      </c>
      <c r="C18" s="30" t="s">
        <v>15</v>
      </c>
      <c r="D18" s="341" t="s">
        <v>491</v>
      </c>
      <c r="E18" s="343" t="s">
        <v>492</v>
      </c>
      <c r="F18" s="282" t="s">
        <v>406</v>
      </c>
      <c r="G18" s="344" t="s">
        <v>423</v>
      </c>
    </row>
    <row r="19" spans="1:7" ht="99.75">
      <c r="A19" s="261">
        <v>18</v>
      </c>
      <c r="B19" s="285" t="s">
        <v>456</v>
      </c>
      <c r="C19" s="30" t="s">
        <v>457</v>
      </c>
      <c r="D19" s="280" t="s">
        <v>449</v>
      </c>
      <c r="E19" s="282" t="s">
        <v>498</v>
      </c>
      <c r="F19" s="282" t="s">
        <v>406</v>
      </c>
      <c r="G19" s="270" t="s">
        <v>493</v>
      </c>
    </row>
    <row r="20" spans="1:7" ht="60">
      <c r="A20" s="261">
        <v>19</v>
      </c>
      <c r="B20" s="285" t="s">
        <v>456</v>
      </c>
      <c r="C20" s="30" t="s">
        <v>457</v>
      </c>
      <c r="D20" s="280" t="s">
        <v>450</v>
      </c>
      <c r="E20" s="282" t="s">
        <v>496</v>
      </c>
      <c r="F20" s="282" t="s">
        <v>406</v>
      </c>
      <c r="G20" s="270" t="s">
        <v>493</v>
      </c>
    </row>
    <row r="21" spans="1:7" ht="99.75">
      <c r="A21" s="261">
        <v>20</v>
      </c>
      <c r="B21" s="285" t="s">
        <v>456</v>
      </c>
      <c r="C21" s="30" t="s">
        <v>457</v>
      </c>
      <c r="D21" s="280" t="s">
        <v>451</v>
      </c>
      <c r="E21" s="282" t="s">
        <v>499</v>
      </c>
      <c r="F21" s="282" t="s">
        <v>406</v>
      </c>
      <c r="G21" s="270" t="s">
        <v>493</v>
      </c>
    </row>
    <row r="22" spans="1:7" ht="45">
      <c r="A22" s="261">
        <v>21</v>
      </c>
      <c r="B22" s="285" t="s">
        <v>456</v>
      </c>
      <c r="C22" s="30" t="s">
        <v>457</v>
      </c>
      <c r="D22" s="280" t="s">
        <v>452</v>
      </c>
      <c r="E22" s="282" t="s">
        <v>501</v>
      </c>
      <c r="F22" s="282" t="s">
        <v>406</v>
      </c>
      <c r="G22" s="270" t="s">
        <v>493</v>
      </c>
    </row>
    <row r="23" spans="1:7" ht="99.75">
      <c r="A23" s="261">
        <v>22</v>
      </c>
      <c r="B23" s="285" t="s">
        <v>456</v>
      </c>
      <c r="C23" s="30" t="s">
        <v>457</v>
      </c>
      <c r="D23" s="280" t="s">
        <v>453</v>
      </c>
      <c r="E23" s="282" t="s">
        <v>500</v>
      </c>
      <c r="F23" s="282" t="s">
        <v>406</v>
      </c>
      <c r="G23" s="270" t="s">
        <v>494</v>
      </c>
    </row>
    <row r="24" spans="1:7" ht="57">
      <c r="A24" s="261">
        <v>23</v>
      </c>
      <c r="B24" s="285" t="s">
        <v>456</v>
      </c>
      <c r="C24" s="30" t="s">
        <v>457</v>
      </c>
      <c r="D24" s="280" t="s">
        <v>454</v>
      </c>
      <c r="E24" s="282" t="s">
        <v>497</v>
      </c>
      <c r="F24" s="282" t="s">
        <v>406</v>
      </c>
      <c r="G24" s="270" t="s">
        <v>493</v>
      </c>
    </row>
    <row r="25" spans="1:7" ht="71.25">
      <c r="A25" s="261">
        <v>24</v>
      </c>
      <c r="B25" s="288" t="s">
        <v>456</v>
      </c>
      <c r="C25" s="289" t="s">
        <v>457</v>
      </c>
      <c r="D25" s="290" t="s">
        <v>455</v>
      </c>
      <c r="E25" s="291" t="s">
        <v>495</v>
      </c>
      <c r="F25" s="291" t="s">
        <v>406</v>
      </c>
      <c r="G25" s="292" t="s">
        <v>502</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O61"/>
  <sheetViews>
    <sheetView showGridLines="0" zoomScale="70" zoomScaleNormal="70" zoomScaleSheetLayoutView="70" workbookViewId="0">
      <pane ySplit="2" topLeftCell="A3" activePane="bottomLeft" state="frozen"/>
      <selection activeCell="E22" sqref="E22"/>
      <selection pane="bottomLeft" activeCell="D10" sqref="D10"/>
    </sheetView>
  </sheetViews>
  <sheetFormatPr defaultColWidth="11" defaultRowHeight="15"/>
  <cols>
    <col min="1" max="1" width="3.42578125" style="293" bestFit="1" customWidth="1"/>
    <col min="2" max="2" width="4" customWidth="1"/>
    <col min="3" max="3" width="78.42578125" customWidth="1"/>
    <col min="4" max="4" width="183.5703125" bestFit="1" customWidth="1"/>
    <col min="5" max="5" width="33" bestFit="1" customWidth="1"/>
    <col min="6" max="6" width="40.7109375" bestFit="1" customWidth="1"/>
    <col min="7" max="7" width="2.85546875" style="29" customWidth="1"/>
    <col min="8" max="8" width="3" style="29"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1" spans="1:8">
      <c r="B1" s="3"/>
      <c r="C1" s="3"/>
      <c r="D1" s="3"/>
      <c r="E1" s="3"/>
      <c r="F1" s="3"/>
    </row>
    <row r="2" spans="1:8" ht="28.5">
      <c r="B2" s="3"/>
      <c r="C2" s="334" t="str">
        <f>+"Tabel Programatic de Evaluare: "&amp;" "&amp;+IF('Introducerea datelor'!C4="Please Select","",'Introducerea datelor'!C4&amp;" - ")&amp;+IF('Introducerea datelor'!G6="Please Select","",'Introducerea datelor'!G6)</f>
        <v>Tabel Programatic de Evaluare:  Moldova - HIVAIDS / TB</v>
      </c>
      <c r="D2" s="334"/>
      <c r="E2" s="334"/>
      <c r="F2" s="334"/>
    </row>
    <row r="3" spans="1:8" ht="28.5">
      <c r="B3" s="3"/>
      <c r="C3" s="111"/>
      <c r="D3" s="111"/>
      <c r="E3" s="111"/>
      <c r="F3" s="3"/>
    </row>
    <row r="5" spans="1:8" ht="23.25">
      <c r="C5" s="301" t="s">
        <v>226</v>
      </c>
      <c r="D5" s="301"/>
      <c r="E5" s="301"/>
      <c r="F5" s="301"/>
      <c r="G5" s="301"/>
      <c r="H5" s="301"/>
    </row>
    <row r="7" spans="1:8" ht="21">
      <c r="C7" s="335" t="s">
        <v>215</v>
      </c>
      <c r="D7" s="335" t="s">
        <v>216</v>
      </c>
      <c r="E7" s="335" t="s">
        <v>217</v>
      </c>
      <c r="F7" s="335" t="s">
        <v>251</v>
      </c>
      <c r="G7" s="336"/>
      <c r="H7" s="337"/>
    </row>
    <row r="8" spans="1:8" ht="85.5">
      <c r="C8" s="314" t="str">
        <f>+'Introducerea datelor'!B27</f>
        <v>F1: Bugetul și debursările de către Fondul Global</v>
      </c>
      <c r="D8" s="338" t="s">
        <v>269</v>
      </c>
      <c r="E8" s="311" t="s">
        <v>252</v>
      </c>
      <c r="F8" s="311" t="s">
        <v>270</v>
      </c>
      <c r="G8" s="312"/>
      <c r="H8" s="313"/>
    </row>
    <row r="9" spans="1:8" ht="71.25">
      <c r="C9" s="314" t="str">
        <f>+'Introducerea datelor'!B36</f>
        <v>F2: Bugetul și cheltuielile actuale după Obiectivele Grantului</v>
      </c>
      <c r="D9" s="333" t="s">
        <v>260</v>
      </c>
      <c r="E9" s="311" t="s">
        <v>254</v>
      </c>
      <c r="F9" s="311" t="s">
        <v>270</v>
      </c>
      <c r="G9" s="312"/>
      <c r="H9" s="313"/>
    </row>
    <row r="10" spans="1:8" ht="156.75">
      <c r="C10" s="314" t="str">
        <f>+'Introducerea datelor'!B51</f>
        <v>F3: Debursări și cheltuieli</v>
      </c>
      <c r="D10" s="333" t="s">
        <v>271</v>
      </c>
      <c r="E10" s="311" t="s">
        <v>261</v>
      </c>
      <c r="F10" s="311" t="s">
        <v>253</v>
      </c>
      <c r="G10" s="312"/>
      <c r="H10" s="313"/>
    </row>
    <row r="11" spans="1:8" ht="174.75">
      <c r="C11" s="314" t="str">
        <f>+'Introducerea datelor'!B60</f>
        <v xml:space="preserve">F4: Ultima perioadă de raportare și debursare a RP </v>
      </c>
      <c r="D11" s="333" t="s">
        <v>274</v>
      </c>
      <c r="E11" s="311" t="s">
        <v>262</v>
      </c>
      <c r="F11" s="311" t="s">
        <v>220</v>
      </c>
      <c r="G11" s="312"/>
      <c r="H11" s="313"/>
    </row>
    <row r="12" spans="1:8" s="19" customFormat="1">
      <c r="A12" s="294"/>
      <c r="C12" s="340"/>
      <c r="D12" s="339"/>
      <c r="E12" s="339"/>
      <c r="F12" s="339"/>
      <c r="G12" s="339"/>
      <c r="H12" s="339"/>
    </row>
    <row r="13" spans="1:8" s="19" customFormat="1">
      <c r="A13" s="294"/>
      <c r="C13" s="332"/>
      <c r="D13" s="328"/>
      <c r="E13" s="328"/>
      <c r="F13" s="328"/>
      <c r="G13" s="328"/>
      <c r="H13" s="328"/>
    </row>
    <row r="14" spans="1:8" s="19" customFormat="1">
      <c r="A14" s="294"/>
      <c r="C14" s="332"/>
      <c r="D14" s="328"/>
      <c r="E14" s="328"/>
      <c r="F14" s="328"/>
      <c r="G14" s="328"/>
      <c r="H14" s="328"/>
    </row>
    <row r="15" spans="1:8" s="19" customFormat="1">
      <c r="A15" s="294"/>
      <c r="C15" s="332"/>
      <c r="D15" s="328"/>
      <c r="E15" s="328"/>
      <c r="F15" s="328"/>
      <c r="G15" s="328"/>
      <c r="H15" s="328"/>
    </row>
    <row r="16" spans="1:8" ht="23.25">
      <c r="C16" s="301" t="s">
        <v>227</v>
      </c>
      <c r="D16" s="301"/>
      <c r="E16" s="301"/>
      <c r="F16" s="301"/>
      <c r="G16" s="301"/>
      <c r="H16" s="301"/>
    </row>
    <row r="18" spans="2:8" ht="21">
      <c r="C18" s="329" t="s">
        <v>215</v>
      </c>
      <c r="D18" s="329" t="s">
        <v>216</v>
      </c>
      <c r="E18" s="329" t="s">
        <v>217</v>
      </c>
      <c r="F18" s="329" t="s">
        <v>218</v>
      </c>
      <c r="G18" s="330"/>
      <c r="H18" s="331"/>
    </row>
    <row r="19" spans="2:8" ht="99.75">
      <c r="C19" s="314" t="str">
        <f>+'Introducerea datelor'!B71</f>
        <v xml:space="preserve">M1: Statutul Condițiilor Precedente și a Acțiunilor Prestabilite în Timp </v>
      </c>
      <c r="D19" s="333" t="s">
        <v>225</v>
      </c>
      <c r="E19" s="311" t="s">
        <v>255</v>
      </c>
      <c r="F19" s="311" t="s">
        <v>256</v>
      </c>
      <c r="G19" s="312"/>
      <c r="H19" s="313"/>
    </row>
    <row r="20" spans="2:8" ht="43.5">
      <c r="C20" s="314" t="str">
        <f>+'Introducerea datelor'!B78</f>
        <v xml:space="preserve">M2: Statutul pozițiilor cheie a RP </v>
      </c>
      <c r="D20" s="333" t="s">
        <v>272</v>
      </c>
      <c r="E20" s="311" t="s">
        <v>222</v>
      </c>
      <c r="F20" s="311" t="s">
        <v>221</v>
      </c>
      <c r="G20" s="312"/>
      <c r="H20" s="313"/>
    </row>
    <row r="21" spans="2:8" ht="102.75">
      <c r="C21" s="314" t="str">
        <f>+'Introducerea datelor'!B83</f>
        <v xml:space="preserve">M3: Aranjamente contractuale (SR) </v>
      </c>
      <c r="D21" s="311" t="s">
        <v>0</v>
      </c>
      <c r="E21" s="311" t="s">
        <v>257</v>
      </c>
      <c r="F21" s="311" t="s">
        <v>258</v>
      </c>
      <c r="G21" s="312"/>
      <c r="H21" s="313"/>
    </row>
    <row r="22" spans="2:8" ht="42.75">
      <c r="C22" s="314" t="str">
        <f>+'Introducerea datelor'!B88</f>
        <v>M4: Numărul rapoartelor complete recepționate la timp</v>
      </c>
      <c r="D22" s="311" t="s">
        <v>275</v>
      </c>
      <c r="E22" s="311" t="s">
        <v>263</v>
      </c>
      <c r="F22" s="311" t="s">
        <v>223</v>
      </c>
      <c r="G22" s="312"/>
      <c r="H22" s="313"/>
    </row>
    <row r="23" spans="2:8" ht="102.75">
      <c r="C23" s="319" t="str">
        <f>+'Introducerea datelor'!B94</f>
        <v xml:space="preserve">M5: Bugetul și Procurarea produselor medicale, echipamentului medical, medicamentelor și produselor farmaceutice </v>
      </c>
      <c r="D23" s="310" t="s">
        <v>264</v>
      </c>
      <c r="E23" s="322" t="s">
        <v>219</v>
      </c>
      <c r="F23" s="322" t="s">
        <v>224</v>
      </c>
      <c r="G23" s="323"/>
      <c r="H23" s="324"/>
    </row>
    <row r="24" spans="2:8" ht="29.25">
      <c r="C24" s="320"/>
      <c r="D24" s="321" t="s">
        <v>259</v>
      </c>
      <c r="E24" s="325"/>
      <c r="F24" s="325"/>
      <c r="G24" s="326"/>
      <c r="H24" s="327"/>
    </row>
    <row r="25" spans="2:8" ht="142.5">
      <c r="C25" s="314" t="str">
        <f>+'Introducerea datelor'!B107</f>
        <v>M6: Diferență între stocul curent și stocul de siguranță</v>
      </c>
      <c r="D25" s="315" t="s">
        <v>276</v>
      </c>
      <c r="E25" s="316" t="s">
        <v>265</v>
      </c>
      <c r="F25" s="316" t="s">
        <v>266</v>
      </c>
      <c r="G25" s="317"/>
      <c r="H25" s="318"/>
    </row>
    <row r="29" spans="2:8" ht="18.75">
      <c r="C29" s="124"/>
    </row>
    <row r="30" spans="2:8" ht="23.25">
      <c r="C30" s="301" t="s">
        <v>413</v>
      </c>
      <c r="D30" s="301"/>
      <c r="E30" s="301"/>
      <c r="F30" s="301"/>
      <c r="G30" s="301"/>
      <c r="H30" s="301"/>
    </row>
    <row r="32" spans="2:8" ht="15.75">
      <c r="B32" s="121"/>
      <c r="C32" s="302" t="s">
        <v>250</v>
      </c>
      <c r="D32" s="303" t="s">
        <v>458</v>
      </c>
      <c r="E32" s="295" t="s">
        <v>404</v>
      </c>
      <c r="F32" s="295" t="s">
        <v>405</v>
      </c>
      <c r="G32" s="296"/>
      <c r="H32" s="297"/>
    </row>
    <row r="33" spans="1:8" ht="30">
      <c r="A33" s="293">
        <v>1</v>
      </c>
      <c r="B33" s="654" t="s">
        <v>442</v>
      </c>
      <c r="C33" s="269" t="str">
        <f>IFERROR(VLOOKUP(A33,Table1[],4,0),"")</f>
        <v>TB I-3(M): Rata mortalităţii  - Numărul estimat de decese cauzate de TB (toate formele) pe an, la 100,000 persoane</v>
      </c>
      <c r="D33" s="275" t="str">
        <f>IFERROR(VLOOKUP(A33,Table1[],5,0),"")</f>
        <v>Numărător: Numărul de decese cauzate de TB (toate formele) înregistrate într-o anumită perioadă per 100,000 persoane.                                                                                                                                                      Numitor: Numărul total al populației în țară.</v>
      </c>
      <c r="E33" s="270" t="str">
        <f>IFERROR(VLOOKUP(A33,Table1[],6,0),"")</f>
        <v xml:space="preserve">Colectat anual </v>
      </c>
      <c r="F33" s="270" t="str">
        <f>IFERROR(VLOOKUP(A33,Table1[],7,0),"")</f>
        <v>Sistemul R&amp;R TB; Rapoarte trimestriale; SYME TB</v>
      </c>
      <c r="G33" s="273"/>
      <c r="H33" s="274"/>
    </row>
    <row r="34" spans="1:8" ht="28.5">
      <c r="A34" s="293">
        <v>2</v>
      </c>
      <c r="B34" s="654"/>
      <c r="C34" s="269" t="str">
        <f>IFERROR(VLOOKUP(A34,Table1[],4,0),"")</f>
        <v xml:space="preserve">TB I-4(M): Prevalența TB MDR printre cazurile noi de tuberculoză </v>
      </c>
      <c r="D34" s="275" t="str">
        <f>IFERROR(VLOOKUP(A34,Sheet1!$A$2:$E$25,5,0),"")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34" s="270" t="str">
        <f>IFERROR(VLOOKUP(A34,Table1[],6,0),"")</f>
        <v xml:space="preserve">Colectat anual </v>
      </c>
      <c r="F34" s="270" t="str">
        <f>IFERROR(VLOOKUP(A34,Table1[],7,0),"")</f>
        <v>Sistemul R&amp;R TB; Rapoarte trimestriale; SYME TB</v>
      </c>
      <c r="G34" s="278"/>
      <c r="H34" s="279"/>
    </row>
    <row r="35" spans="1:8" ht="42.75">
      <c r="A35" s="293">
        <v>3</v>
      </c>
      <c r="B35" s="654"/>
      <c r="C35" s="269" t="str">
        <f>IFERROR(VLOOKUP(A35,Table1[],4,0),"")</f>
        <v>HIV I-4: Mortalitatea asociată cu SIDA la 100,000 populaţie</v>
      </c>
      <c r="D35" s="275" t="str">
        <f>IFERROR(VLOOKUP(A35,Sheet1!$A$2:$E$25,5,0),"")</f>
        <v xml:space="preserve">Numărător: Numărul de decese cauzate de HIV/ SIDA într-o anumită perioadă de timp.                                                  Numitor: Adulți (15+): Numărul total al populației (per 100 000 persoane). Copii (&lt;15): Numărul total al populației (per 1 000 nou-născuți).                                      
                                </v>
      </c>
      <c r="E35" s="270" t="str">
        <f>IFERROR(VLOOKUP(A35,Table1[],6,0),"")</f>
        <v xml:space="preserve">Colectat anual </v>
      </c>
      <c r="F35" s="270" t="str">
        <f>IFERROR(VLOOKUP(A35,Table1[],7,0),"")</f>
        <v xml:space="preserve">Registru pacienți/ Registru Național Decese
</v>
      </c>
      <c r="G35" s="276"/>
      <c r="H35" s="277"/>
    </row>
    <row r="36" spans="1:8" ht="42.75">
      <c r="A36" s="293">
        <v>4</v>
      </c>
      <c r="B36" s="654"/>
      <c r="C36" s="269" t="str">
        <f>IFERROR(VLOOKUP(A36,Table1[],4,0),"")</f>
        <v xml:space="preserve">HIV I-9a (M): Procentul BSB care trăiesc cu HIV </v>
      </c>
      <c r="D36" s="275" t="str">
        <f>IFERROR(VLOOKUP(A36,Sheet1!$A$2:$E$25,5,0),"")</f>
        <v xml:space="preserve">Numărător: Numărul de respondenți care au rezultat HIV pozitiv.                                                                                                             
Numitor: Numărul de respondenți testați pentru HIV.                                                   
                                </v>
      </c>
      <c r="E36" s="270" t="str">
        <f>IFERROR(VLOOKUP(A36,Table1[],6,0),"")</f>
        <v>Studiu Bio-comportamental (BSS)</v>
      </c>
      <c r="F36" s="270" t="str">
        <f>IFERROR(VLOOKUP(A36,Table1[],7,0),"")</f>
        <v xml:space="preserve">
BSS. Data de raportare - 31 August 2020
</v>
      </c>
      <c r="G36" s="276"/>
      <c r="H36" s="277"/>
    </row>
    <row r="37" spans="1:8" ht="28.5">
      <c r="A37" s="293">
        <v>5</v>
      </c>
      <c r="B37" s="654"/>
      <c r="C37" s="269" t="str">
        <f>IFERROR(VLOOKUP(A37,Table1[],4,0),"")</f>
        <v>HIV I-10 (M): Procentul LSC care trăiesc cu HIV</v>
      </c>
      <c r="D37" s="275" t="str">
        <f>IFERROR(VLOOKUP(A37,Sheet1!$A$2:$E$25,5,0),"")</f>
        <v xml:space="preserve">Numărător: Numărul de respondenți care au rezultat HIV pozitiv.                                                                                                             
Numitor: Numărul de respondenți testați pentru HIV.                                                                                       </v>
      </c>
      <c r="E37" s="270" t="str">
        <f>IFERROR(VLOOKUP(A37,Table1[],6,0),"")</f>
        <v>Studiu Bio-comportamental (BSS)</v>
      </c>
      <c r="F37" s="270" t="str">
        <f>IFERROR(VLOOKUP(A37,Table1[],7,0),"")</f>
        <v>BSS. Data de raportare - 31 August 2020</v>
      </c>
      <c r="G37" s="276"/>
      <c r="H37" s="277"/>
    </row>
    <row r="38" spans="1:8" ht="30">
      <c r="A38" s="293">
        <v>6</v>
      </c>
      <c r="B38" s="654"/>
      <c r="C38" s="269" t="str">
        <f>IFERROR(VLOOKUP(A38,Table1[],4,0),"")</f>
        <v>HIV I-11 (M): Procentul consumatorilor de droguri injectabile care trăiesc cu HIV</v>
      </c>
      <c r="D38" s="275" t="str">
        <f>IFERROR(VLOOKUP(A38,Sheet1!$A$2:$E$25,5,0),"")</f>
        <v xml:space="preserve">Numărător: Numărul de respondenți care au rezultat HIV pozitiv.
Numitor: Numărul de respondenți testați pentru HIV.    </v>
      </c>
      <c r="E38" s="270" t="str">
        <f>IFERROR(VLOOKUP(A38,Table1[],6,0),"")</f>
        <v>Studiu Bio-comportamental (BSS)</v>
      </c>
      <c r="F38" s="270" t="str">
        <f>IFERROR(VLOOKUP(A38,Table1[],7,0),"")</f>
        <v>BSS. Data de raportare - 31 August 2020</v>
      </c>
      <c r="G38" s="276"/>
      <c r="H38" s="277"/>
    </row>
    <row r="39" spans="1:8" ht="15.75">
      <c r="B39" s="122"/>
      <c r="C39" s="302" t="str">
        <f>IFERROR(VLOOKUP(A39,Table1[],4,0),"")</f>
        <v/>
      </c>
      <c r="D39" s="303" t="str">
        <f>IFERROR(VLOOKUP(A39,Sheet1!$A$2:$E$25,5,0),"")</f>
        <v/>
      </c>
      <c r="E39" s="295" t="str">
        <f>IFERROR(VLOOKUP(A39,Table1[],6,0),"")</f>
        <v/>
      </c>
      <c r="F39" s="295" t="str">
        <f>IFERROR(VLOOKUP(A39,Table1[],7,0),"")</f>
        <v/>
      </c>
      <c r="G39" s="296"/>
      <c r="H39" s="297"/>
    </row>
    <row r="40" spans="1:8" ht="30">
      <c r="A40" s="293">
        <v>7</v>
      </c>
      <c r="B40" s="654" t="s">
        <v>448</v>
      </c>
      <c r="C40" s="269" t="str">
        <f>IFERROR(VLOOKUP(A40,Table1[],4,0),"")</f>
        <v xml:space="preserve">TB O-4(M): Rata succesului tratamentului pacienților cu RR TB și/sau MDR-TB </v>
      </c>
      <c r="D40" s="275" t="str">
        <f>IFERROR(VLOOKUP(A40,Sheet1!$A$2:$E$25,5,0),"")</f>
        <v>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v>
      </c>
      <c r="E40" s="270" t="str">
        <f>IFERROR(VLOOKUP(A40,Table1[],6,0),"")</f>
        <v xml:space="preserve">Colectat trimestrial și anual </v>
      </c>
      <c r="F40" s="270" t="str">
        <f>IFERROR(VLOOKUP(A40,Table1[],7,0),"")</f>
        <v>Sistemul R&amp;R TB; Rapoarte trimestriale; SYME TB</v>
      </c>
      <c r="G40" s="273"/>
      <c r="H40" s="274"/>
    </row>
    <row r="41" spans="1:8" ht="42.75">
      <c r="A41" s="293">
        <v>8</v>
      </c>
      <c r="B41" s="654"/>
      <c r="C41" s="269" t="str">
        <f>IFERROR(VLOOKUP(A41,Table1[],4,0),"")</f>
        <v>TB O-1a: Rata de notificare a cazurilor de tuberculoză (toate formele) per 100,000 populație</v>
      </c>
      <c r="D41" s="275" t="str">
        <f>IFERROR(VLOOKUP(A41,Sheet1!$A$2:$E$25,5,0),"")</f>
        <v>Numărător: Toate cazurile de tuberculoză (bacteriologic confirmate și diagnosticate clinic, cazuri noi și recidive) notificate către autoritatea națională într-o perioadă anumită de timp per 100,000 populație.
Numitor: Numărul total al populației în țară.</v>
      </c>
      <c r="E41" s="270" t="str">
        <f>IFERROR(VLOOKUP(A41,Table1[],6,0),"")</f>
        <v xml:space="preserve">Colectat trimestrial și anual </v>
      </c>
      <c r="F41" s="270" t="str">
        <f>IFERROR(VLOOKUP(A41,Table1[],7,0),"")</f>
        <v>Sistemul R&amp;R TB; Rapoarte trimestriale; SYME TB</v>
      </c>
      <c r="G41" s="273"/>
      <c r="H41" s="274"/>
    </row>
    <row r="42" spans="1:8" ht="57">
      <c r="A42" s="293">
        <v>9</v>
      </c>
      <c r="B42" s="654"/>
      <c r="C42" s="269" t="str">
        <f>IFERROR(VLOOKUP(A42,Table1[],4,0),"")</f>
        <v>TB O-5(M): Rata de acoperire cu tratament antituberculos</v>
      </c>
      <c r="D42" s="275" t="str">
        <f>IFERROR(VLOOKUP(A42,Sheet1!$A$2:$E$25,5,0),"")</f>
        <v>Numărător: Number de cazuri noi și recidive notificate și acoperite cu tratament, during specified period of time.
Numitor: Numărul estimat de cazuri TB din același an (toate formele TB - bacteriologic confirmate și diagnosticate clinic), din baza de date a OMS (WHO Global TB).</v>
      </c>
      <c r="E42" s="270" t="str">
        <f>IFERROR(VLOOKUP(A42,Table1[],6,0),"")</f>
        <v xml:space="preserve">Colectat anual </v>
      </c>
      <c r="F42" s="270" t="str">
        <f>IFERROR(VLOOKUP(A42,Table1[],7,0),"")</f>
        <v>Sistemul R&amp;R TB; Rapoarte trimestriale; SYME TB
Date estimative ale OMS (WHO Global TB)</v>
      </c>
      <c r="G42" s="273"/>
      <c r="H42" s="272"/>
    </row>
    <row r="43" spans="1:8" ht="57">
      <c r="A43" s="293">
        <v>10</v>
      </c>
      <c r="B43" s="654"/>
      <c r="C43" s="269" t="str">
        <f>IFERROR(VLOOKUP(A43,Table1[],4,0),"")</f>
        <v xml:space="preserve">HIV O-1 (M): Procentul adulţilor şi copiilor HIV infectaţi care se află în tratament 12 luni după iniţierea tratamentului antiretroviral </v>
      </c>
      <c r="D43" s="275" t="str">
        <f>IFERROR(VLOOKUP(A43,Sheet1!$A$2:$E$25,5,0),"")</f>
        <v xml:space="preserve">Numărător: Numărul adulților și copiilor care sunt în viață și în terapie ARV 12 luni după inițierea tratamentului.
Numitor: Numărul total de adulți ăi copii care în perioada de raportare au facut 12 luni de la inițierea TARV.                                                                         
</v>
      </c>
      <c r="E43" s="270" t="str">
        <f>IFERROR(VLOOKUP(A43,Table1[],6,0),"")</f>
        <v xml:space="preserve">Colectat anual </v>
      </c>
      <c r="F43" s="270" t="str">
        <f>IFERROR(VLOOKUP(A43,Table1[],7,0),"")</f>
        <v>Registrele pacienților în TARV (Centrele TARV)</v>
      </c>
      <c r="G43" s="271"/>
      <c r="H43" s="272"/>
    </row>
    <row r="44" spans="1:8" ht="30">
      <c r="A44" s="293">
        <v>11</v>
      </c>
      <c r="B44" s="654"/>
      <c r="C44" s="269" t="str">
        <f>IFERROR(VLOOKUP(A44,Table1[],4,0),"")</f>
        <v>HIV O-4a (M): Procentul BSB care raportează utilizarea prezervativului în timpul ultimului act de sex anal cu partenerul de gen masculin</v>
      </c>
      <c r="D44" s="275" t="str">
        <f>IFERROR(VLOOKUP(A44,Sheet1!$A$2:$E$25,5,0),"")</f>
        <v xml:space="preserve">Numărător: Numărul de respondenți care au raportat utilizarea prezervativului în timpul ultimului act de sex anal.                                                       
Numitor: Numărul de respondenți care au raportat practicarea sexului anal în ultimele 6 luni.                                                                                      </v>
      </c>
      <c r="E44" s="270" t="str">
        <f>IFERROR(VLOOKUP(A44,Table1[],6,0),"")</f>
        <v>Studiu Bio-comportamental (BSS)</v>
      </c>
      <c r="F44" s="270" t="str">
        <f>IFERROR(VLOOKUP(A44,Table1[],7,0),"")</f>
        <v>BSS. Data de raportare - 31 August 2020</v>
      </c>
      <c r="G44" s="271"/>
      <c r="H44" s="272"/>
    </row>
    <row r="45" spans="1:8" ht="30">
      <c r="A45" s="293">
        <v>12</v>
      </c>
      <c r="B45" s="654"/>
      <c r="C45" s="269" t="str">
        <f>IFERROR(VLOOKUP(A45,Table1[],4,0),"")</f>
        <v>HIV O-5 (M): Procentul LSC care raportează utilizarea prezervativului cu ultimul lor client</v>
      </c>
      <c r="D45" s="275" t="str">
        <f>IFERROR(VLOOKUP(A45,Sheet1!$A$2:$E$25,5,0),"")</f>
        <v xml:space="preserve">Numărător: Numărul de respondenți care au raportat utilizarea prezervativului cu ultimul lor client.
Numitor: Numărul de respondenți care au raportat practicarea sexului comercial în ultimele 12 luni.                                                             </v>
      </c>
      <c r="E45" s="270" t="str">
        <f>IFERROR(VLOOKUP(A45,Table1[],6,0),"")</f>
        <v>Studiu Bio-comportamental (BSS)</v>
      </c>
      <c r="F45" s="270" t="str">
        <f>IFERROR(VLOOKUP(A45,Table1[],7,0),"")</f>
        <v>BSS. Data de raportare - 31 August 2020</v>
      </c>
      <c r="G45" s="271"/>
      <c r="H45" s="272"/>
    </row>
    <row r="46" spans="1:8" ht="30">
      <c r="A46" s="293">
        <v>13</v>
      </c>
      <c r="B46" s="345"/>
      <c r="C46" s="269" t="str">
        <f>IFERROR(VLOOKUP(A46,Table1[],4,0),"")</f>
        <v>HIV O-6 (M): Procentul consumatorilor de droguri injectabile care raportează utilizarea setului pentru injectare steril la ultima injectare</v>
      </c>
      <c r="D46" s="275" t="str">
        <f>IFERROR(VLOOKUP(A46,Sheet1!$A$2:$E$25,5,0),"")</f>
        <v xml:space="preserve">Numărător: Numărul de respondenți care au raportat utilizarea setului pentru injectare steril, la ultima consumare de droguri injectabile.
Numitor: Numărul de respondenți care au raportat consumarea de droguri injectabile în ultima lună.                                                                                    </v>
      </c>
      <c r="E46" s="270" t="str">
        <f>IFERROR(VLOOKUP(A46,Table1[],6,0),"")</f>
        <v>Studiu Bio-comportamental (BSS)</v>
      </c>
      <c r="F46" s="270" t="str">
        <f>IFERROR(VLOOKUP(A46,Table1[],7,0),"")</f>
        <v>BSS. Data de raportare - 31 August 2020</v>
      </c>
      <c r="G46" s="271"/>
      <c r="H46" s="272"/>
    </row>
    <row r="47" spans="1:8" ht="15.75">
      <c r="B47" s="122"/>
      <c r="C47" s="302" t="str">
        <f>IFERROR(VLOOKUP(A47,Table1[],4,0),"")</f>
        <v/>
      </c>
      <c r="D47" s="303" t="str">
        <f>IFERROR(VLOOKUP(A47,Sheet1!$A$2:$E$25,5,0),"")</f>
        <v/>
      </c>
      <c r="E47" s="295" t="str">
        <f>IFERROR(VLOOKUP(A47,Table1[],6,0),"")</f>
        <v/>
      </c>
      <c r="F47" s="295" t="str">
        <f>IFERROR(VLOOKUP(A47,Table1[],7,0),"")</f>
        <v/>
      </c>
      <c r="G47" s="296"/>
      <c r="H47" s="297"/>
    </row>
    <row r="48" spans="1:8" ht="57">
      <c r="A48" s="293">
        <v>14</v>
      </c>
      <c r="B48" s="654" t="s">
        <v>456</v>
      </c>
      <c r="C48" s="269" t="str">
        <f>IFERROR(VLOOKUP(A48,Table1[],4,0),"")</f>
        <v>MDR TB-2(M): Numărul cazurilor de TB DR (RR-TB și/sau MDR-TB), confirmate bacteriologic, notificate</v>
      </c>
      <c r="D48" s="275" t="str">
        <f>IFERROR(VLOOKUP(A48,Sheet1!$A$2:$E$25,5,0),"")</f>
        <v xml:space="preserve">Numărător: Numărul de cazuri de TB DR (RR-TB și/sau MDR-TB), confirmate bacteriologic, notificate către autoritatea națională, în perioada raportată.                                                                                              Numitor: Nu este   </v>
      </c>
      <c r="E48" s="270" t="str">
        <f>IFERROR(VLOOKUP(A48,Table1[],6,0),"")</f>
        <v xml:space="preserve">Colectat anual </v>
      </c>
      <c r="F48" s="270" t="str">
        <f>IFERROR(VLOOKUP(A48,Table1[],7,0),"")</f>
        <v xml:space="preserve">Sistemul R&amp;R TB; Rapoarte anuale; Supraveghere de rutină a DR (Drog Rezistenței); SYME TB
</v>
      </c>
      <c r="G48" s="273"/>
      <c r="H48" s="274"/>
    </row>
    <row r="49" spans="1:8" ht="45">
      <c r="A49" s="293">
        <v>15</v>
      </c>
      <c r="B49" s="654"/>
      <c r="C49" s="269" t="str">
        <f>IFERROR(VLOOKUP(A49,Table1[],4,0),"")</f>
        <v xml:space="preserve">MDR TB-3(M): Numărul cazurilor cu tuberculoză drog-rezistentă (RR-TB și/sau MDR-TB), confirmate bacteriologic, care au demarat tratamentul DOTS-Plus în perioada raportată                </v>
      </c>
      <c r="D49" s="275" t="str">
        <f>IFERROR(VLOOKUP(A49,Sheet1!$A$2:$E$25,5,0),"")</f>
        <v xml:space="preserve">Numărător: Numărul cazurilor cu tuberculoză drog-rezistentă (RR-TB și/sau MDR-TB), confirmate bacteriologic, care au demarat tratamentul DOTS-Plus în perioada raportată.
Numitor: Nu este   </v>
      </c>
      <c r="E49" s="270" t="str">
        <f>IFERROR(VLOOKUP(A49,Table1[],6,0),"")</f>
        <v xml:space="preserve">Colectat anual </v>
      </c>
      <c r="F49" s="270" t="str">
        <f>IFERROR(VLOOKUP(A49,Table1[],7,0),"")</f>
        <v xml:space="preserve">Sistemul R&amp;R TB; Rapoarte trimestriale; SYME TB; Modul DOTS Plus </v>
      </c>
      <c r="G49" s="273"/>
      <c r="H49" s="274"/>
    </row>
    <row r="50" spans="1:8" ht="42.75">
      <c r="A50" s="293">
        <v>16</v>
      </c>
      <c r="B50" s="654"/>
      <c r="C50" s="269" t="str">
        <f>IFERROR(VLOOKUP(A50,Table1[],4,0),"")</f>
        <v>MDR TB-4: Rezultatul interimar de abandon al tratamentului cazurilor MDR-TB</v>
      </c>
      <c r="D50" s="275" t="str">
        <f>IFERROR(VLOOKUP(A50,Sheet1!$A$2:$E$25,5,0),"")</f>
        <v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v>
      </c>
      <c r="E50" s="270" t="str">
        <f>IFERROR(VLOOKUP(A50,Table1[],6,0),"")</f>
        <v xml:space="preserve">Colectat anual </v>
      </c>
      <c r="F50" s="270" t="str">
        <f>IFERROR(VLOOKUP(A50,Table1[],7,0),"")</f>
        <v>Sistemul R&amp;R TB; Rapoarte trimestriale/ anuale; Rapoarte NTP; SYME TB; Modul DOTS Plus</v>
      </c>
      <c r="G50" s="273"/>
      <c r="H50" s="274"/>
    </row>
    <row r="51" spans="1:8" ht="42.75">
      <c r="A51" s="293">
        <v>17</v>
      </c>
      <c r="B51" s="654"/>
      <c r="C51" s="269" t="str">
        <f>IFERROR(VLOOKUP(A51,Table1[],4,0),"")</f>
        <v>MDR TB-8: Numărul cazurilor de XDR TB incluși în tratament în perioada raportată</v>
      </c>
      <c r="D51" s="275" t="str">
        <f>IFERROR(VLOOKUP(A51,Sheet1!$A$2:$E$25,5,0),"")</f>
        <v xml:space="preserve">Numărător: Numărul cazurilor de XDR TB incluși în tratament în perioada raportată.                                    Numitor: Nu este                                                            </v>
      </c>
      <c r="E51" s="270" t="str">
        <f>IFERROR(VLOOKUP(A51,Table1[],6,0),"")</f>
        <v xml:space="preserve">Colectat anual </v>
      </c>
      <c r="F51" s="270" t="str">
        <f>IFERROR(VLOOKUP(A51,Table1[],7,0),"")</f>
        <v>Sistemul R&amp;R TB; Rapoarte trimestriale/ anuale; Rapoarte NTP; SYME TB; Modul DOTS Plus</v>
      </c>
      <c r="G51" s="271"/>
      <c r="H51" s="272"/>
    </row>
    <row r="52" spans="1:8" ht="57">
      <c r="A52" s="293">
        <v>18</v>
      </c>
      <c r="B52" s="654"/>
      <c r="C52" s="269" t="str">
        <f>IFERROR(VLOOKUP(A52,Table1[],4,0),"")</f>
        <v xml:space="preserve">KP-1d(M): Procentul consumatorilor de droguri injectabile acoperiți de programele de prevenire HIV - pachet definit de servicii </v>
      </c>
      <c r="D52" s="275" t="str">
        <f>IFERROR(VLOOKUP(A52,Sheet1!$A$2:$E$25,5,0),"")</f>
        <v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v>
      </c>
      <c r="E52" s="270" t="str">
        <f>IFERROR(VLOOKUP(A52,Table1[],6,0),"")</f>
        <v xml:space="preserve">Colectat anual </v>
      </c>
      <c r="F52" s="270" t="str">
        <f>IFERROR(VLOOKUP(A52,Table1[],7,0),"")</f>
        <v xml:space="preserve">Forme de raportare ONG, bazate pe IDU Ident  
</v>
      </c>
      <c r="G52" s="271"/>
      <c r="H52" s="272"/>
    </row>
    <row r="53" spans="1:8" ht="42.75">
      <c r="A53" s="293">
        <v>19</v>
      </c>
      <c r="B53" s="654"/>
      <c r="C53" s="269" t="str">
        <f>IFERROR(VLOOKUP(A53,Table1[],4,0),"")</f>
        <v>KP-3d(M): Procentul consumatorilor de droguri injectabile care au fost testați pentru HIV în perioada de raportare și își cunosc rezultatele</v>
      </c>
      <c r="D53" s="275" t="str">
        <f>IFERROR(VLOOKUP(A53,Sheet1!$A$2:$E$25,5,0),"")</f>
        <v xml:space="preserve">Numărător: Numărul de CDI respondenți, care au fost testați pentru HIV în perioada de raportare și își cunosc rezultatele.
Numitor: Numărul estimat de CDI în Rep. Moldova.      
</v>
      </c>
      <c r="E53" s="270" t="str">
        <f>IFERROR(VLOOKUP(A53,Table1[],6,0),"")</f>
        <v xml:space="preserve">Colectat anual </v>
      </c>
      <c r="F53" s="270" t="str">
        <f>IFERROR(VLOOKUP(A53,Table1[],7,0),"")</f>
        <v xml:space="preserve">Forme de raportare ONG, bazate pe IDU Ident  
</v>
      </c>
      <c r="G53" s="271"/>
      <c r="H53" s="272"/>
    </row>
    <row r="54" spans="1:8" ht="77.25" customHeight="1">
      <c r="A54" s="293">
        <v>20</v>
      </c>
      <c r="B54" s="654"/>
      <c r="C54" s="269" t="str">
        <f>IFERROR(VLOOKUP(A54,Table1[],4,0),"")</f>
        <v xml:space="preserve">KP-1c(M): Procentul LSC acoperiți de programele de prevenire HIV - pachet definit de servicii </v>
      </c>
      <c r="D54" s="275" t="str">
        <f>IFERROR(VLOOKUP(A54,Sheet1!$A$2:$E$25,5,0),"")</f>
        <v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v>
      </c>
      <c r="E54" s="270" t="str">
        <f>IFERROR(VLOOKUP(A54,Table1[],6,0),"")</f>
        <v xml:space="preserve">Colectat anual </v>
      </c>
      <c r="F54" s="270" t="str">
        <f>IFERROR(VLOOKUP(A54,Table1[],7,0),"")</f>
        <v xml:space="preserve">Forme de raportare ONG, bazate pe IDU Ident  
</v>
      </c>
      <c r="G54" s="271"/>
      <c r="H54" s="272"/>
    </row>
    <row r="55" spans="1:8" ht="42.75">
      <c r="A55" s="293">
        <v>21</v>
      </c>
      <c r="B55" s="654"/>
      <c r="C55" s="269" t="str">
        <f>IFERROR(VLOOKUP(A55,Table1[],4,0),"")</f>
        <v>KP-3c(M): Procentul LSC care au fost testați pentru HIV în perioada de raportare și își cunosc rezultatele</v>
      </c>
      <c r="D55" s="275" t="str">
        <f>IFERROR(VLOOKUP(A55,Sheet1!$A$2:$E$25,5,0),"")</f>
        <v xml:space="preserve">Numărător: Numărul de LSC care au fost testați pentru HIV în perioada de raportare și își cunosc rezultatele.                                                                                                                                                             Numitor: Numărul estimat de LSC în Rep. Moldova.                                                           </v>
      </c>
      <c r="E55" s="270" t="str">
        <f>IFERROR(VLOOKUP(A55,Table1[],6,0),"")</f>
        <v xml:space="preserve">Colectat anual </v>
      </c>
      <c r="F55" s="270" t="str">
        <f>IFERROR(VLOOKUP(A55,Table1[],7,0),"")</f>
        <v xml:space="preserve">Forme de raportare ONG, bazate pe IDU Ident  
</v>
      </c>
      <c r="G55" s="271"/>
      <c r="H55" s="272"/>
    </row>
    <row r="56" spans="1:8" ht="57">
      <c r="A56" s="293">
        <v>22</v>
      </c>
      <c r="B56" s="654"/>
      <c r="C56" s="269" t="str">
        <f>IFERROR(VLOOKUP(A56,Table1[],4,0),"")</f>
        <v xml:space="preserve">KP-1a(M): Procentul BSB acoperiți de programele de prevenire HIV - pachet definit de servicii </v>
      </c>
      <c r="D56" s="275" t="str">
        <f>IFERROR(VLOOKUP(A56,Sheet1!$A$2:$E$25,5,0),"")</f>
        <v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v>
      </c>
      <c r="E56" s="270" t="str">
        <f>IFERROR(VLOOKUP(A56,Table1[],6,0),"")</f>
        <v xml:space="preserve">Colectat anual </v>
      </c>
      <c r="F56" s="270" t="str">
        <f>IFERROR(VLOOKUP(A56,Table1[],7,0),"")</f>
        <v xml:space="preserve">Forme de raportare ONG, bazate pe IDU Ident
</v>
      </c>
      <c r="G56" s="271"/>
      <c r="H56" s="272"/>
    </row>
    <row r="57" spans="1:8" ht="42.75">
      <c r="A57" s="293">
        <v>23</v>
      </c>
      <c r="B57" s="654"/>
      <c r="C57" s="269" t="str">
        <f>IFERROR(VLOOKUP(A57,Table1[],4,0),"")</f>
        <v>KP-3a(M): Procentul BSB care au fost testați pentru HIV în perioada de raportare și își cunosc rezultatele</v>
      </c>
      <c r="D57" s="275" t="str">
        <f>IFERROR(VLOOKUP(A57,Sheet1!$A$2:$E$25,5,0),"")</f>
        <v xml:space="preserve">Numărător: Numărul de BSB care au fost testați pentru HIV în perioada de raportare și își cunosc rezultatele.
Numitor: Numărul estimat de BSB în Rep. Moldova.   
</v>
      </c>
      <c r="E57" s="270" t="str">
        <f>IFERROR(VLOOKUP(A57,Table1[],6,0),"")</f>
        <v xml:space="preserve">Colectat anual </v>
      </c>
      <c r="F57" s="270" t="str">
        <f>IFERROR(VLOOKUP(A57,Table1[],7,0),"")</f>
        <v xml:space="preserve">Forme de raportare ONG, bazate pe IDU Ident  
</v>
      </c>
      <c r="G57" s="271"/>
      <c r="H57" s="272"/>
    </row>
    <row r="58" spans="1:8" ht="57">
      <c r="A58" s="293">
        <v>24</v>
      </c>
      <c r="B58" s="654"/>
      <c r="C58" s="269" t="str">
        <f>IFERROR(VLOOKUP(A58,Table1[],4,0),"")</f>
        <v xml:space="preserve">TCS-1 (M): Procentul adulţilor şi copiilor care trăiesc cu HIV și urmează tratament antiretroviral </v>
      </c>
      <c r="D58" s="275" t="str">
        <f>IFERROR(VLOOKUP(A58,Sheet1!$A$2:$E$25,5,0),"")</f>
        <v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v>
      </c>
      <c r="E58" s="346" t="str">
        <f>IFERROR(VLOOKUP(A58,Table1[],6,0),"")</f>
        <v xml:space="preserve">Colectat anual </v>
      </c>
      <c r="F58" s="270" t="str">
        <f>IFERROR(VLOOKUP(A58,Table1[],7,0),"")</f>
        <v>Registrele pacienților în TARV (Centrele TARV)</v>
      </c>
      <c r="G58" s="271"/>
      <c r="H58" s="272"/>
    </row>
    <row r="59" spans="1:8" ht="15.75">
      <c r="C59" s="306" t="s">
        <v>234</v>
      </c>
      <c r="D59" s="307" t="s">
        <v>216</v>
      </c>
      <c r="E59" s="307" t="s">
        <v>217</v>
      </c>
      <c r="F59" s="307" t="s">
        <v>218</v>
      </c>
      <c r="G59" s="308"/>
      <c r="H59" s="309"/>
    </row>
    <row r="60" spans="1:8" ht="15.75">
      <c r="C60" s="119"/>
      <c r="D60" s="265"/>
      <c r="E60" s="265"/>
      <c r="F60" s="264"/>
      <c r="G60" s="265"/>
      <c r="H60" s="266"/>
    </row>
    <row r="61" spans="1:8" ht="31.5">
      <c r="C61" s="304" t="s">
        <v>233</v>
      </c>
      <c r="D61" s="305"/>
      <c r="E61" s="305"/>
      <c r="F61" s="298" t="s">
        <v>228</v>
      </c>
      <c r="G61" s="299"/>
      <c r="H61" s="300"/>
    </row>
  </sheetData>
  <sheetProtection sheet="1" objects="1" scenarios="1"/>
  <mergeCells count="3">
    <mergeCell ref="B48:B58"/>
    <mergeCell ref="B40:B45"/>
    <mergeCell ref="B33:B38"/>
  </mergeCells>
  <phoneticPr fontId="22" type="noConversion"/>
  <pageMargins left="0.70866141732283472" right="0.70866141732283472" top="0.74803149606299213" bottom="0.74803149606299213" header="0.31496062992125984" footer="0.31496062992125984"/>
  <pageSetup paperSize="9" scale="37"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J179"/>
  <sheetViews>
    <sheetView showGridLines="0" tabSelected="1" topLeftCell="A123" zoomScale="70" zoomScaleNormal="70" zoomScaleSheetLayoutView="75" workbookViewId="0">
      <selection activeCell="B47" sqref="B47"/>
    </sheetView>
  </sheetViews>
  <sheetFormatPr defaultColWidth="11" defaultRowHeight="15" outlineLevelRow="1"/>
  <cols>
    <col min="1" max="1" width="5.140625" style="348" customWidth="1"/>
    <col min="2" max="2" width="102.85546875" style="3" customWidth="1"/>
    <col min="3" max="3" width="23" style="3" customWidth="1"/>
    <col min="4" max="4" width="35" style="3" customWidth="1"/>
    <col min="5" max="5" width="18.7109375" style="3" customWidth="1"/>
    <col min="6" max="6" width="17.42578125" style="3" customWidth="1"/>
    <col min="7" max="7" width="16.42578125" style="3" customWidth="1"/>
    <col min="8" max="8" width="15.85546875" style="3" customWidth="1"/>
    <col min="9" max="9" width="11.85546875" style="3" customWidth="1"/>
    <col min="10" max="10" width="13.28515625" style="3" customWidth="1"/>
    <col min="11" max="11" width="12" style="3" customWidth="1"/>
    <col min="12" max="12" width="15.28515625" style="3" customWidth="1"/>
    <col min="13" max="13" width="15.42578125" style="3" customWidth="1"/>
    <col min="14" max="14" width="14.28515625" style="194" customWidth="1"/>
    <col min="15" max="15" width="20.42578125" style="194" customWidth="1"/>
    <col min="16" max="16" width="19.42578125" style="3" customWidth="1"/>
    <col min="17" max="17" width="16.140625" style="3" customWidth="1"/>
    <col min="18" max="18" width="13.7109375" style="3" customWidth="1"/>
    <col min="19" max="19" width="13.42578125" style="3" customWidth="1"/>
    <col min="20" max="20" width="14.85546875" style="3" customWidth="1"/>
    <col min="21" max="21" width="16" style="3" customWidth="1"/>
    <col min="22" max="22" width="11.42578125" style="3" hidden="1" customWidth="1"/>
    <col min="23" max="23" width="15.5703125" style="3" customWidth="1"/>
    <col min="24" max="24" width="11.42578125" style="3" customWidth="1"/>
    <col min="25" max="25" width="2.28515625" style="3" customWidth="1"/>
    <col min="26" max="26" width="1.140625" style="3" customWidth="1"/>
    <col min="27" max="27" width="3.28515625" style="3" customWidth="1"/>
    <col min="28" max="28" width="17" style="3" customWidth="1"/>
    <col min="29" max="29" width="15" style="3" customWidth="1"/>
    <col min="30" max="30" width="11.42578125" style="3" customWidth="1"/>
    <col min="31" max="31" width="13.5703125" style="3" customWidth="1"/>
    <col min="32" max="32" width="16.85546875" style="3" customWidth="1"/>
    <col min="33" max="33" width="11.42578125" style="3" customWidth="1"/>
    <col min="34" max="34" width="2" style="194" customWidth="1"/>
    <col min="35" max="35" width="3.28515625" style="194" customWidth="1"/>
    <col min="36" max="36" width="2.28515625" style="194" customWidth="1"/>
    <col min="37" max="37" width="40.7109375" style="3" customWidth="1"/>
    <col min="38" max="38" width="15.42578125" style="3" customWidth="1"/>
    <col min="39" max="16384" width="11" style="3"/>
  </cols>
  <sheetData>
    <row r="1" spans="1:13" ht="29.25" customHeight="1"/>
    <row r="2" spans="1:13" ht="15.75" customHeight="1">
      <c r="B2" s="734" t="s">
        <v>277</v>
      </c>
      <c r="C2" s="734"/>
      <c r="D2" s="734"/>
      <c r="E2" s="734"/>
      <c r="F2" s="734"/>
      <c r="G2" s="734"/>
      <c r="H2" s="734"/>
      <c r="I2" s="734"/>
      <c r="J2" s="734"/>
      <c r="K2" s="132"/>
      <c r="L2" s="132"/>
      <c r="M2" s="132"/>
    </row>
    <row r="3" spans="1:13" ht="4.5" customHeight="1"/>
    <row r="4" spans="1:13" ht="34.5" customHeight="1">
      <c r="B4" s="350" t="s">
        <v>278</v>
      </c>
      <c r="C4" s="735" t="s">
        <v>155</v>
      </c>
      <c r="D4" s="736"/>
      <c r="E4" s="723" t="s">
        <v>282</v>
      </c>
      <c r="F4" s="723"/>
      <c r="G4" s="737" t="s">
        <v>429</v>
      </c>
      <c r="H4" s="738"/>
      <c r="I4" s="738"/>
      <c r="J4" s="739"/>
    </row>
    <row r="5" spans="1:13" ht="3" customHeight="1">
      <c r="B5" s="350"/>
      <c r="E5" s="133"/>
      <c r="F5" s="133"/>
    </row>
    <row r="6" spans="1:13">
      <c r="B6" s="350" t="s">
        <v>279</v>
      </c>
      <c r="C6" s="735" t="s">
        <v>428</v>
      </c>
      <c r="D6" s="736"/>
      <c r="E6" s="723" t="s">
        <v>283</v>
      </c>
      <c r="F6" s="723"/>
      <c r="G6" s="369" t="s">
        <v>50</v>
      </c>
      <c r="H6" s="350" t="s">
        <v>284</v>
      </c>
      <c r="I6" s="744">
        <v>12888803</v>
      </c>
      <c r="J6" s="745"/>
    </row>
    <row r="7" spans="1:13" ht="3" customHeight="1">
      <c r="B7" s="350"/>
      <c r="E7" s="133"/>
      <c r="F7" s="133"/>
      <c r="H7" s="350"/>
    </row>
    <row r="8" spans="1:13">
      <c r="B8" s="350" t="s">
        <v>280</v>
      </c>
      <c r="C8" s="735" t="s">
        <v>417</v>
      </c>
      <c r="D8" s="736"/>
      <c r="E8" s="134"/>
      <c r="F8" s="351" t="s">
        <v>285</v>
      </c>
      <c r="G8" s="370" t="s">
        <v>268</v>
      </c>
      <c r="H8" s="351" t="s">
        <v>286</v>
      </c>
      <c r="I8" s="735" t="s">
        <v>268</v>
      </c>
      <c r="J8" s="736"/>
    </row>
    <row r="9" spans="1:13" ht="3" customHeight="1">
      <c r="B9" s="133"/>
      <c r="E9" s="133"/>
      <c r="F9" s="133"/>
    </row>
    <row r="10" spans="1:13">
      <c r="B10" s="350" t="s">
        <v>365</v>
      </c>
      <c r="C10" s="742">
        <v>43101</v>
      </c>
      <c r="D10" s="743"/>
      <c r="E10" s="688" t="s">
        <v>287</v>
      </c>
      <c r="F10" s="689"/>
      <c r="G10" s="735" t="s">
        <v>37</v>
      </c>
      <c r="H10" s="747"/>
      <c r="I10" s="747"/>
      <c r="J10" s="736"/>
    </row>
    <row r="11" spans="1:13" ht="5.25" customHeight="1"/>
    <row r="12" spans="1:13" ht="15" customHeight="1">
      <c r="B12" s="350" t="s">
        <v>281</v>
      </c>
      <c r="C12" s="748" t="s">
        <v>268</v>
      </c>
      <c r="D12" s="748"/>
      <c r="E12" s="688" t="s">
        <v>231</v>
      </c>
      <c r="F12" s="723"/>
      <c r="G12" s="746" t="s">
        <v>418</v>
      </c>
      <c r="H12" s="746"/>
      <c r="I12" s="746"/>
      <c r="J12" s="746"/>
    </row>
    <row r="13" spans="1:13" ht="5.25" customHeight="1"/>
    <row r="14" spans="1:13" ht="15.75" customHeight="1">
      <c r="B14" s="734" t="s">
        <v>288</v>
      </c>
      <c r="C14" s="734"/>
      <c r="D14" s="734"/>
      <c r="E14" s="734"/>
      <c r="F14" s="734"/>
      <c r="G14" s="734"/>
      <c r="H14" s="734"/>
      <c r="I14" s="734"/>
      <c r="J14" s="734"/>
    </row>
    <row r="15" spans="1:13" ht="12" customHeight="1"/>
    <row r="16" spans="1:13" s="194" customFormat="1" ht="30" customHeight="1">
      <c r="A16" s="349"/>
      <c r="B16" s="195" t="s">
        <v>289</v>
      </c>
      <c r="C16" s="440" t="s">
        <v>70</v>
      </c>
      <c r="D16" s="222" t="s">
        <v>290</v>
      </c>
      <c r="E16" s="267">
        <f>VLOOKUP(C16,Setup!$F$8:$H$21,2,0)</f>
        <v>43831</v>
      </c>
      <c r="F16" s="223" t="s">
        <v>291</v>
      </c>
      <c r="G16" s="267">
        <f>VLOOKUP(C16,Setup!$F$8:$H$21,3,0)</f>
        <v>44012</v>
      </c>
      <c r="H16" s="740" t="s">
        <v>407</v>
      </c>
      <c r="I16" s="741"/>
      <c r="J16" s="263">
        <v>44089</v>
      </c>
    </row>
    <row r="17" spans="2:35" ht="3" customHeight="1"/>
    <row r="18" spans="2:35">
      <c r="B18" s="732" t="s">
        <v>368</v>
      </c>
      <c r="C18" s="689"/>
      <c r="D18" s="733" t="s">
        <v>417</v>
      </c>
      <c r="E18" s="733"/>
      <c r="F18" s="733"/>
      <c r="G18" s="135"/>
      <c r="H18" s="135"/>
      <c r="I18" s="135"/>
      <c r="J18" s="135"/>
    </row>
    <row r="19" spans="2:35" ht="30" hidden="1" customHeight="1"/>
    <row r="20" spans="2:35" ht="21" customHeight="1"/>
    <row r="21" spans="2:35" ht="15.75" customHeight="1">
      <c r="B21" s="734" t="s">
        <v>292</v>
      </c>
      <c r="C21" s="734"/>
      <c r="D21" s="734"/>
      <c r="E21" s="734"/>
      <c r="F21" s="734"/>
      <c r="G21" s="734"/>
      <c r="H21" s="734"/>
      <c r="I21" s="734"/>
      <c r="J21" s="734"/>
    </row>
    <row r="22" spans="2:35">
      <c r="B22" s="133" t="s">
        <v>409</v>
      </c>
      <c r="E22" s="136"/>
      <c r="F22" s="136"/>
      <c r="I22" s="136"/>
      <c r="J22" s="136"/>
    </row>
    <row r="23" spans="2:35" ht="3" customHeight="1"/>
    <row r="24" spans="2:35" ht="15.75" thickBot="1">
      <c r="B24" s="350" t="s">
        <v>293</v>
      </c>
      <c r="C24" s="166"/>
      <c r="D24" s="723" t="s">
        <v>294</v>
      </c>
      <c r="E24" s="723"/>
      <c r="F24" s="167"/>
      <c r="G24" s="723" t="s">
        <v>295</v>
      </c>
      <c r="H24" s="723"/>
      <c r="I24" s="730"/>
      <c r="J24" s="731"/>
      <c r="N24" s="15"/>
    </row>
    <row r="25" spans="2:35" ht="26.25" customHeight="1" thickBot="1">
      <c r="B25" s="56" t="s">
        <v>293</v>
      </c>
      <c r="C25" s="57"/>
      <c r="D25" s="57"/>
      <c r="E25" s="57"/>
      <c r="F25" s="57"/>
      <c r="G25" s="57"/>
      <c r="H25" s="127"/>
      <c r="I25" s="58"/>
      <c r="J25" s="58"/>
      <c r="K25" s="127" t="s">
        <v>408</v>
      </c>
      <c r="L25" s="57"/>
      <c r="M25" s="57"/>
      <c r="N25" s="172"/>
      <c r="O25" s="60"/>
      <c r="AI25" s="70"/>
    </row>
    <row r="26" spans="2:35">
      <c r="B26" s="721" t="s">
        <v>296</v>
      </c>
      <c r="C26" s="722"/>
      <c r="D26" s="371" t="s">
        <v>2</v>
      </c>
      <c r="E26" s="60"/>
      <c r="F26" s="60"/>
      <c r="G26" s="60"/>
      <c r="H26" s="60"/>
      <c r="I26" s="60"/>
      <c r="J26" s="61"/>
      <c r="K26" s="60"/>
      <c r="L26" s="60"/>
      <c r="M26" s="60"/>
      <c r="N26" s="60"/>
      <c r="O26" s="60"/>
      <c r="AI26" s="70"/>
    </row>
    <row r="27" spans="2:35" ht="18.75">
      <c r="B27" s="59" t="s">
        <v>297</v>
      </c>
      <c r="C27" s="60"/>
      <c r="D27" s="60"/>
      <c r="E27" s="60"/>
      <c r="F27" s="60"/>
      <c r="G27" s="60"/>
      <c r="H27" s="60"/>
      <c r="I27" s="60"/>
      <c r="J27" s="61"/>
      <c r="K27" s="60"/>
      <c r="L27" s="60"/>
      <c r="M27" s="60"/>
      <c r="N27" s="60"/>
      <c r="O27" s="60"/>
      <c r="AI27" s="70"/>
    </row>
    <row r="28" spans="2:35" ht="15.75" thickBot="1">
      <c r="P28" s="194"/>
      <c r="Q28" s="194"/>
    </row>
    <row r="29" spans="2:35" ht="16.5" thickBot="1">
      <c r="B29" s="724" t="s">
        <v>301</v>
      </c>
      <c r="C29" s="725"/>
      <c r="D29" s="725"/>
      <c r="E29" s="725"/>
      <c r="F29" s="725"/>
      <c r="G29" s="725"/>
      <c r="H29" s="725"/>
      <c r="I29" s="725"/>
      <c r="J29" s="725"/>
      <c r="K29" s="725"/>
      <c r="L29" s="725"/>
      <c r="M29" s="725"/>
      <c r="N29" s="726"/>
      <c r="P29" s="372"/>
      <c r="Q29" s="215"/>
      <c r="R29" s="373">
        <f>+C33</f>
        <v>1692851</v>
      </c>
      <c r="S29" s="374"/>
    </row>
    <row r="30" spans="2:35" ht="15.75">
      <c r="B30" s="554" t="s">
        <v>298</v>
      </c>
      <c r="C30" s="555" t="s">
        <v>60</v>
      </c>
      <c r="D30" s="555" t="s">
        <v>61</v>
      </c>
      <c r="E30" s="555" t="s">
        <v>62</v>
      </c>
      <c r="F30" s="555" t="s">
        <v>63</v>
      </c>
      <c r="G30" s="555" t="s">
        <v>70</v>
      </c>
      <c r="H30" s="555" t="s">
        <v>71</v>
      </c>
      <c r="I30" s="555" t="s">
        <v>72</v>
      </c>
      <c r="J30" s="555" t="s">
        <v>73</v>
      </c>
      <c r="K30" s="555" t="s">
        <v>74</v>
      </c>
      <c r="L30" s="555" t="s">
        <v>75</v>
      </c>
      <c r="M30" s="555" t="s">
        <v>76</v>
      </c>
      <c r="N30" s="556" t="s">
        <v>230</v>
      </c>
      <c r="O30" s="375" t="s">
        <v>304</v>
      </c>
      <c r="P30" s="372"/>
      <c r="Q30" s="215"/>
      <c r="R30" s="373">
        <f>+D33</f>
        <v>3291075</v>
      </c>
      <c r="S30" s="374"/>
    </row>
    <row r="31" spans="2:35" ht="15.75">
      <c r="B31" s="557" t="str">
        <f>CONCATENATE("Buget (in ",'Introducerea datelor'!$D$26,")")</f>
        <v>Buget (in €)</v>
      </c>
      <c r="C31" s="558">
        <v>1692851</v>
      </c>
      <c r="D31" s="558">
        <v>1598224</v>
      </c>
      <c r="E31" s="559">
        <v>3467731</v>
      </c>
      <c r="F31" s="558">
        <v>2631765</v>
      </c>
      <c r="G31" s="559">
        <v>2080206.97</v>
      </c>
      <c r="H31" s="558"/>
      <c r="I31" s="558"/>
      <c r="J31" s="559"/>
      <c r="K31" s="559"/>
      <c r="L31" s="559"/>
      <c r="M31" s="559"/>
      <c r="N31" s="559"/>
      <c r="O31" s="665">
        <f>LOOKUP(2,1/(C34:N34&gt;0),C34:N34)/I6</f>
        <v>0.82432785340888526</v>
      </c>
      <c r="P31" s="376"/>
      <c r="Q31" s="215"/>
      <c r="R31" s="373">
        <f>+E33</f>
        <v>6758806</v>
      </c>
      <c r="S31" s="374"/>
    </row>
    <row r="32" spans="2:35" ht="15.75">
      <c r="B32" s="554" t="str">
        <f>CONCATENATE("Debursări de către FG (in ", $D$26,")")</f>
        <v>Debursări de către FG (in €)</v>
      </c>
      <c r="C32" s="558">
        <v>2829876.8</v>
      </c>
      <c r="D32" s="558">
        <v>1184141.73</v>
      </c>
      <c r="E32" s="560">
        <v>2357161.88</v>
      </c>
      <c r="F32" s="561">
        <v>1841812.91</v>
      </c>
      <c r="G32" s="562">
        <v>2411605.9900000002</v>
      </c>
      <c r="H32" s="563"/>
      <c r="I32" s="558"/>
      <c r="J32" s="559"/>
      <c r="K32" s="559"/>
      <c r="L32" s="559"/>
      <c r="M32" s="559"/>
      <c r="N32" s="559"/>
      <c r="O32" s="666"/>
      <c r="P32" s="372"/>
      <c r="Q32" s="215"/>
      <c r="R32" s="373">
        <f>+F33</f>
        <v>9390571</v>
      </c>
      <c r="S32" s="374"/>
    </row>
    <row r="33" spans="2:35" ht="15.75">
      <c r="B33" s="564" t="s">
        <v>299</v>
      </c>
      <c r="C33" s="565">
        <f>C31</f>
        <v>1692851</v>
      </c>
      <c r="D33" s="566">
        <f>IF(AND(D31=0,D32=0),0,+C33+D31)</f>
        <v>3291075</v>
      </c>
      <c r="E33" s="566">
        <f t="shared" ref="E33:G33" si="0">IF(AND(E31=0,E32=0),0,+D33+E31)</f>
        <v>6758806</v>
      </c>
      <c r="F33" s="566">
        <f t="shared" si="0"/>
        <v>9390571</v>
      </c>
      <c r="G33" s="566">
        <f t="shared" si="0"/>
        <v>11470777.970000001</v>
      </c>
      <c r="H33" s="566">
        <f>IF(AND(H31=0,H32=0),0,+G33+H31)</f>
        <v>0</v>
      </c>
      <c r="I33" s="566">
        <f t="shared" ref="I33:N33" si="1">IF(AND(I31=0,I32=0),0,+H33+I31)</f>
        <v>0</v>
      </c>
      <c r="J33" s="567">
        <f t="shared" si="1"/>
        <v>0</v>
      </c>
      <c r="K33" s="567">
        <f t="shared" si="1"/>
        <v>0</v>
      </c>
      <c r="L33" s="567">
        <f t="shared" si="1"/>
        <v>0</v>
      </c>
      <c r="M33" s="567">
        <f t="shared" si="1"/>
        <v>0</v>
      </c>
      <c r="N33" s="567">
        <f t="shared" si="1"/>
        <v>0</v>
      </c>
      <c r="O33" s="666"/>
      <c r="P33" s="377"/>
      <c r="Q33" s="215"/>
      <c r="R33" s="373">
        <f>+G33</f>
        <v>11470777.970000001</v>
      </c>
      <c r="S33" s="374"/>
    </row>
    <row r="34" spans="2:35" ht="16.5" thickBot="1">
      <c r="B34" s="568" t="s">
        <v>300</v>
      </c>
      <c r="C34" s="569">
        <f>C32</f>
        <v>2829876.8</v>
      </c>
      <c r="D34" s="570">
        <f t="shared" ref="D34" si="2">IF(AND(D31=0,D32=0),0,+C34+D32)</f>
        <v>4014018.53</v>
      </c>
      <c r="E34" s="570">
        <f t="shared" ref="E34" si="3">IF(AND(E31=0,E32=0),0,+D34+E32)</f>
        <v>6371180.4100000001</v>
      </c>
      <c r="F34" s="570">
        <f t="shared" ref="F34" si="4">IF(AND(F31=0,F32=0),0,+E34+F32)</f>
        <v>8212993.3200000003</v>
      </c>
      <c r="G34" s="570">
        <f t="shared" ref="G34" si="5">IF(AND(G31=0,G32=0),0,+F34+G32)</f>
        <v>10624599.310000001</v>
      </c>
      <c r="H34" s="570">
        <f t="shared" ref="H34:N34" si="6">IF(AND(H31=0,H32=0),0,+G34+H32)</f>
        <v>0</v>
      </c>
      <c r="I34" s="570">
        <f t="shared" si="6"/>
        <v>0</v>
      </c>
      <c r="J34" s="571">
        <f t="shared" si="6"/>
        <v>0</v>
      </c>
      <c r="K34" s="571">
        <f t="shared" si="6"/>
        <v>0</v>
      </c>
      <c r="L34" s="571">
        <f t="shared" si="6"/>
        <v>0</v>
      </c>
      <c r="M34" s="571">
        <f t="shared" si="6"/>
        <v>0</v>
      </c>
      <c r="N34" s="571">
        <f t="shared" si="6"/>
        <v>0</v>
      </c>
      <c r="O34" s="667"/>
      <c r="P34" s="377"/>
      <c r="Q34" s="215"/>
      <c r="R34" s="373">
        <f>+H33</f>
        <v>0</v>
      </c>
      <c r="S34" s="374"/>
    </row>
    <row r="35" spans="2:35">
      <c r="C35" s="155">
        <f>+IF(AND(C30=$C$16,C33&lt;&gt;0),C34/C33,0)</f>
        <v>0</v>
      </c>
      <c r="D35" s="155">
        <f t="shared" ref="D35:N35" si="7">+IF(AND(D30=$C$16,D33&lt;&gt;0),D34/D33,0)</f>
        <v>0</v>
      </c>
      <c r="E35" s="155">
        <f t="shared" si="7"/>
        <v>0</v>
      </c>
      <c r="F35" s="155">
        <f>+IF(AND(F30=$C$16,F33&lt;&gt;0),F34/F33,0)</f>
        <v>0</v>
      </c>
      <c r="G35" s="155">
        <f t="shared" si="7"/>
        <v>0.92623179855690296</v>
      </c>
      <c r="H35" s="155">
        <f t="shared" si="7"/>
        <v>0</v>
      </c>
      <c r="I35" s="155">
        <f t="shared" si="7"/>
        <v>0</v>
      </c>
      <c r="J35" s="155">
        <f t="shared" si="7"/>
        <v>0</v>
      </c>
      <c r="K35" s="155">
        <f t="shared" si="7"/>
        <v>0</v>
      </c>
      <c r="L35" s="155">
        <f t="shared" si="7"/>
        <v>0</v>
      </c>
      <c r="M35" s="155">
        <f t="shared" si="7"/>
        <v>0</v>
      </c>
      <c r="N35" s="155">
        <f t="shared" si="7"/>
        <v>0</v>
      </c>
      <c r="O35" s="252"/>
      <c r="P35" s="250"/>
      <c r="Q35" s="215"/>
      <c r="R35" s="373">
        <f>+I33</f>
        <v>0</v>
      </c>
      <c r="S35" s="374"/>
    </row>
    <row r="36" spans="2:35" ht="18.75">
      <c r="B36" s="59" t="s">
        <v>302</v>
      </c>
      <c r="E36" s="162"/>
      <c r="G36" s="126"/>
      <c r="N36" s="378"/>
      <c r="O36" s="378"/>
      <c r="P36" s="194"/>
      <c r="Q36" s="194"/>
      <c r="AI36" s="15"/>
    </row>
    <row r="37" spans="2:35" ht="15.75" thickBot="1">
      <c r="M37" s="360"/>
      <c r="N37" s="379"/>
      <c r="O37" s="379"/>
      <c r="P37" s="194"/>
      <c r="Q37" s="194"/>
    </row>
    <row r="38" spans="2:35" ht="30" customHeight="1">
      <c r="B38" s="168" t="s">
        <v>303</v>
      </c>
      <c r="C38" s="169" t="str">
        <f>CONCATENATE("Bugetul Cumulativ (în ",'Introducerea datelor'!$D$26,")")</f>
        <v>Bugetul Cumulativ (în €)</v>
      </c>
      <c r="D38" s="170" t="str">
        <f>CONCATENATE("Cheltuielile Cumulative (în ",'Introducerea datelor'!$D$26,")")</f>
        <v>Cheltuielile Cumulative (în €)</v>
      </c>
      <c r="E38" s="253" t="s">
        <v>426</v>
      </c>
      <c r="F38" s="137" t="s">
        <v>427</v>
      </c>
      <c r="J38" s="65"/>
      <c r="K38" s="65"/>
      <c r="N38" s="3"/>
      <c r="O38" s="3"/>
      <c r="Q38" s="194"/>
      <c r="AE38" s="15"/>
      <c r="AF38" s="194"/>
    </row>
    <row r="39" spans="2:35" ht="37.5">
      <c r="B39" s="494" t="s">
        <v>433</v>
      </c>
      <c r="C39" s="495">
        <v>1102638.79</v>
      </c>
      <c r="D39" s="496">
        <v>853155.54</v>
      </c>
      <c r="E39" s="497">
        <f>C39-D39</f>
        <v>249483.25</v>
      </c>
      <c r="F39" s="498">
        <f>IFERROR(D39/C39,"")</f>
        <v>0.77373982099795346</v>
      </c>
      <c r="G39" s="164"/>
      <c r="J39" s="66"/>
      <c r="K39" s="66"/>
      <c r="N39" s="3"/>
      <c r="O39" s="3"/>
      <c r="Q39" s="194"/>
      <c r="AE39" s="15"/>
      <c r="AF39" s="194"/>
    </row>
    <row r="40" spans="2:35" ht="37.5">
      <c r="B40" s="494" t="s">
        <v>434</v>
      </c>
      <c r="C40" s="495">
        <v>3437382.09</v>
      </c>
      <c r="D40" s="496">
        <v>2541286.6</v>
      </c>
      <c r="E40" s="497">
        <f t="shared" ref="E40:E49" si="8">C40-D40</f>
        <v>896095.48999999976</v>
      </c>
      <c r="F40" s="498">
        <f t="shared" ref="F40:F49" si="9">IFERROR(D40/C40,"")</f>
        <v>0.73930873364153715</v>
      </c>
      <c r="G40" s="164"/>
      <c r="K40" s="66"/>
      <c r="N40" s="3"/>
      <c r="O40" s="3"/>
      <c r="Q40" s="194"/>
      <c r="AE40" s="15"/>
      <c r="AF40" s="194"/>
    </row>
    <row r="41" spans="2:35" ht="37.5">
      <c r="B41" s="494" t="s">
        <v>420</v>
      </c>
      <c r="C41" s="499">
        <v>455002.95</v>
      </c>
      <c r="D41" s="496">
        <v>256858.95</v>
      </c>
      <c r="E41" s="497">
        <f t="shared" si="8"/>
        <v>198144</v>
      </c>
      <c r="F41" s="498">
        <f t="shared" si="9"/>
        <v>0.56452150475068352</v>
      </c>
      <c r="K41" s="66"/>
      <c r="N41" s="3"/>
      <c r="O41" s="3"/>
      <c r="Q41" s="194"/>
      <c r="AE41" s="15"/>
      <c r="AF41" s="194"/>
    </row>
    <row r="42" spans="2:35" ht="18.75">
      <c r="B42" s="494" t="s">
        <v>435</v>
      </c>
      <c r="C42" s="499">
        <v>3217002.21</v>
      </c>
      <c r="D42" s="496">
        <v>2797296.78</v>
      </c>
      <c r="E42" s="497">
        <f t="shared" ref="E42:E44" si="10">C42-D42</f>
        <v>419705.43000000017</v>
      </c>
      <c r="F42" s="498">
        <f t="shared" si="9"/>
        <v>0.86953523727918103</v>
      </c>
      <c r="K42" s="66"/>
      <c r="N42" s="3"/>
      <c r="O42" s="3"/>
      <c r="Q42" s="194"/>
      <c r="AE42" s="15"/>
      <c r="AF42" s="194"/>
    </row>
    <row r="43" spans="2:35" ht="37.5">
      <c r="B43" s="494" t="s">
        <v>436</v>
      </c>
      <c r="C43" s="499">
        <v>2245083.19</v>
      </c>
      <c r="D43" s="496">
        <v>2082598.57</v>
      </c>
      <c r="E43" s="497">
        <f t="shared" si="10"/>
        <v>162484.61999999988</v>
      </c>
      <c r="F43" s="498">
        <f t="shared" si="9"/>
        <v>0.92762645913357011</v>
      </c>
      <c r="K43" s="66"/>
      <c r="N43" s="3"/>
      <c r="O43" s="3"/>
      <c r="Q43" s="194"/>
      <c r="AE43" s="15"/>
      <c r="AF43" s="194"/>
    </row>
    <row r="44" spans="2:35" ht="18.75">
      <c r="B44" s="494" t="s">
        <v>437</v>
      </c>
      <c r="C44" s="499">
        <v>188349.55</v>
      </c>
      <c r="D44" s="496">
        <v>183967.06</v>
      </c>
      <c r="E44" s="497">
        <f t="shared" si="10"/>
        <v>4382.4899999999907</v>
      </c>
      <c r="F44" s="498">
        <f t="shared" si="9"/>
        <v>0.97673214509936446</v>
      </c>
      <c r="H44" s="360"/>
      <c r="K44" s="66"/>
      <c r="N44" s="3"/>
      <c r="O44" s="3"/>
      <c r="Q44" s="194"/>
      <c r="AE44" s="15"/>
      <c r="AF44" s="194"/>
    </row>
    <row r="45" spans="2:35" ht="18.75">
      <c r="B45" s="500" t="s">
        <v>421</v>
      </c>
      <c r="C45" s="499">
        <v>809064.66</v>
      </c>
      <c r="D45" s="496">
        <v>862296.83</v>
      </c>
      <c r="E45" s="497">
        <f t="shared" si="8"/>
        <v>-53232.169999999925</v>
      </c>
      <c r="F45" s="498">
        <f t="shared" si="9"/>
        <v>1.06579470422055</v>
      </c>
      <c r="K45" s="15"/>
      <c r="N45" s="3"/>
      <c r="O45" s="3"/>
      <c r="Q45" s="194"/>
      <c r="AE45" s="15"/>
      <c r="AF45" s="194"/>
    </row>
    <row r="46" spans="2:35" ht="18.75">
      <c r="B46" s="500" t="s">
        <v>508</v>
      </c>
      <c r="C46" s="499"/>
      <c r="D46" s="496">
        <v>228003.56</v>
      </c>
      <c r="E46" s="497"/>
      <c r="F46" s="498" t="str">
        <f t="shared" si="9"/>
        <v/>
      </c>
      <c r="K46" s="15"/>
      <c r="N46" s="3"/>
      <c r="O46" s="3"/>
      <c r="Q46" s="194"/>
      <c r="AE46" s="15"/>
      <c r="AF46" s="194"/>
    </row>
    <row r="47" spans="2:35" ht="18.75">
      <c r="B47" s="500" t="s">
        <v>411</v>
      </c>
      <c r="C47" s="499">
        <v>16254.85</v>
      </c>
      <c r="D47" s="496">
        <v>47412.19</v>
      </c>
      <c r="E47" s="497">
        <f t="shared" si="8"/>
        <v>-31157.340000000004</v>
      </c>
      <c r="F47" s="498">
        <f t="shared" si="9"/>
        <v>2.9168026773547586</v>
      </c>
      <c r="J47" s="15"/>
      <c r="K47" s="15"/>
      <c r="N47" s="3"/>
      <c r="O47" s="3"/>
      <c r="Q47" s="194"/>
      <c r="AE47" s="194"/>
      <c r="AF47" s="194"/>
    </row>
    <row r="48" spans="2:35" ht="18.75">
      <c r="B48" s="501"/>
      <c r="C48" s="502"/>
      <c r="D48" s="503"/>
      <c r="E48" s="497"/>
      <c r="F48" s="498" t="str">
        <f t="shared" si="9"/>
        <v/>
      </c>
      <c r="J48" s="15"/>
      <c r="K48" s="15"/>
      <c r="N48" s="3"/>
      <c r="O48" s="3"/>
      <c r="Q48" s="194"/>
      <c r="AE48" s="194"/>
      <c r="AF48" s="194"/>
    </row>
    <row r="49" spans="2:35" ht="19.5" thickBot="1">
      <c r="B49" s="504" t="s">
        <v>39</v>
      </c>
      <c r="C49" s="505">
        <f>SUM(C39:C48)</f>
        <v>11470778.290000001</v>
      </c>
      <c r="D49" s="506">
        <f>SUM(D39:D48)</f>
        <v>9852876.0800000001</v>
      </c>
      <c r="E49" s="497">
        <f t="shared" si="8"/>
        <v>1617902.2100000009</v>
      </c>
      <c r="F49" s="498">
        <f t="shared" si="9"/>
        <v>0.85895445199124321</v>
      </c>
      <c r="N49" s="109"/>
      <c r="O49" s="373"/>
      <c r="P49" s="374"/>
      <c r="Q49" s="194"/>
      <c r="AE49" s="194"/>
      <c r="AF49" s="194"/>
    </row>
    <row r="50" spans="2:35">
      <c r="C50" s="106"/>
      <c r="D50" s="106"/>
      <c r="E50" s="130"/>
      <c r="F50" s="106"/>
      <c r="G50" s="106"/>
      <c r="H50" s="106"/>
      <c r="I50" s="106"/>
      <c r="J50" s="106"/>
      <c r="K50" s="106"/>
      <c r="L50" s="106"/>
      <c r="M50" s="106"/>
      <c r="N50" s="106"/>
      <c r="O50" s="106"/>
      <c r="P50" s="108"/>
      <c r="Q50" s="215"/>
      <c r="R50" s="373"/>
      <c r="S50" s="374"/>
    </row>
    <row r="51" spans="2:35" ht="18.75">
      <c r="B51" s="59" t="s">
        <v>305</v>
      </c>
      <c r="P51" s="374"/>
      <c r="Q51" s="215"/>
      <c r="R51" s="373">
        <f>+J33</f>
        <v>0</v>
      </c>
      <c r="S51" s="374"/>
    </row>
    <row r="52" spans="2:35" ht="15.75" thickBot="1">
      <c r="P52" s="374"/>
      <c r="Q52" s="109"/>
      <c r="R52" s="373">
        <f>+K33</f>
        <v>0</v>
      </c>
      <c r="S52" s="374"/>
    </row>
    <row r="53" spans="2:35" ht="35.25" customHeight="1">
      <c r="B53" s="572"/>
      <c r="C53" s="573" t="s">
        <v>310</v>
      </c>
      <c r="D53" s="573" t="s">
        <v>311</v>
      </c>
      <c r="E53" s="574" t="str">
        <f>CONCATENATE("Total Cheltuit și debursat (în ",D26,")")</f>
        <v>Total Cheltuit și debursat (în €)</v>
      </c>
      <c r="F53" s="575"/>
      <c r="G53" s="216"/>
      <c r="H53" s="137"/>
      <c r="I53" s="131"/>
      <c r="J53" s="131"/>
      <c r="K53" s="131"/>
      <c r="L53" s="131"/>
      <c r="M53" s="131"/>
      <c r="N53" s="131"/>
      <c r="O53" s="374"/>
      <c r="P53" s="109"/>
      <c r="Q53" s="373">
        <f>+M33</f>
        <v>0</v>
      </c>
      <c r="R53" s="374"/>
      <c r="AH53" s="15"/>
    </row>
    <row r="54" spans="2:35" ht="18.75">
      <c r="B54" s="576" t="s">
        <v>306</v>
      </c>
      <c r="C54" s="631">
        <v>8212993.3200000003</v>
      </c>
      <c r="D54" s="631">
        <v>2411605.9900000002</v>
      </c>
      <c r="E54" s="577">
        <f>+D54+C54</f>
        <v>10624599.310000001</v>
      </c>
      <c r="F54" s="575"/>
      <c r="G54" s="217"/>
      <c r="H54" s="64"/>
      <c r="I54" s="62"/>
      <c r="J54" s="380"/>
      <c r="K54" s="381"/>
      <c r="L54" s="63"/>
      <c r="M54" s="63"/>
      <c r="N54" s="63"/>
      <c r="O54" s="374"/>
      <c r="P54" s="374"/>
      <c r="Q54" s="374"/>
      <c r="R54" s="374"/>
      <c r="AH54" s="15"/>
    </row>
    <row r="55" spans="2:35" ht="18.75">
      <c r="B55" s="576" t="s">
        <v>307</v>
      </c>
      <c r="C55" s="578">
        <v>7210588.7800000003</v>
      </c>
      <c r="D55" s="578">
        <v>2642287.2999999998</v>
      </c>
      <c r="E55" s="577">
        <f>+D55+C55</f>
        <v>9852876.0800000001</v>
      </c>
      <c r="F55" s="575"/>
      <c r="G55" s="218"/>
      <c r="H55" s="64"/>
      <c r="I55" s="62"/>
      <c r="J55" s="380"/>
      <c r="K55" s="380"/>
      <c r="L55" s="63"/>
      <c r="M55" s="63"/>
      <c r="N55" s="63"/>
      <c r="O55" s="374"/>
      <c r="P55" s="374"/>
      <c r="Q55" s="374"/>
      <c r="R55" s="374"/>
      <c r="AH55" s="15"/>
    </row>
    <row r="56" spans="2:35" ht="18.75">
      <c r="B56" s="576" t="s">
        <v>308</v>
      </c>
      <c r="C56" s="578">
        <v>765030.47</v>
      </c>
      <c r="D56" s="578">
        <v>212787.68</v>
      </c>
      <c r="E56" s="577">
        <f>+D56+C56</f>
        <v>977818.14999999991</v>
      </c>
      <c r="F56" s="575"/>
      <c r="G56" s="217"/>
      <c r="H56" s="64"/>
      <c r="I56" s="62"/>
      <c r="J56" s="380"/>
      <c r="K56" s="381"/>
      <c r="L56" s="63"/>
      <c r="M56" s="63"/>
      <c r="N56" s="63"/>
      <c r="O56" s="3"/>
      <c r="AH56" s="15"/>
    </row>
    <row r="57" spans="2:35" ht="19.5" thickBot="1">
      <c r="B57" s="579" t="s">
        <v>309</v>
      </c>
      <c r="C57" s="632">
        <v>765030.47</v>
      </c>
      <c r="D57" s="632">
        <f>212787.68-88000.09-8756.69/19.444-370607.85/19.444</f>
        <v>105276.96770006171</v>
      </c>
      <c r="E57" s="580">
        <f>+D57+C57</f>
        <v>870307.43770006171</v>
      </c>
      <c r="F57" s="575"/>
      <c r="G57" s="219"/>
      <c r="H57" s="382"/>
      <c r="I57" s="64"/>
      <c r="J57" s="64"/>
      <c r="K57" s="64"/>
      <c r="L57" s="63"/>
      <c r="M57" s="63"/>
      <c r="N57" s="63"/>
      <c r="O57" s="3"/>
      <c r="AH57" s="15"/>
    </row>
    <row r="58" spans="2:35" ht="14.25" customHeight="1">
      <c r="B58" s="581"/>
      <c r="C58" s="581"/>
      <c r="D58" s="581"/>
      <c r="E58" s="582"/>
      <c r="F58" s="583"/>
      <c r="AI58" s="15"/>
    </row>
    <row r="59" spans="2:35" ht="18.75" hidden="1">
      <c r="B59" s="581"/>
      <c r="C59" s="581"/>
      <c r="D59" s="584"/>
      <c r="E59" s="581"/>
      <c r="F59" s="581"/>
    </row>
    <row r="60" spans="2:35" ht="18.75">
      <c r="B60" s="59" t="s">
        <v>370</v>
      </c>
      <c r="C60" s="581"/>
      <c r="D60" s="581"/>
      <c r="E60" s="581"/>
      <c r="F60" s="581"/>
    </row>
    <row r="61" spans="2:35" ht="19.5" thickBot="1">
      <c r="B61" s="581"/>
      <c r="C61" s="581"/>
      <c r="D61" s="581"/>
      <c r="E61" s="581"/>
      <c r="F61" s="581"/>
    </row>
    <row r="62" spans="2:35" ht="18.75">
      <c r="B62" s="727" t="s">
        <v>312</v>
      </c>
      <c r="C62" s="728"/>
      <c r="D62" s="729"/>
      <c r="E62" s="581"/>
      <c r="F62" s="581"/>
      <c r="M62" s="194"/>
      <c r="O62" s="3"/>
    </row>
    <row r="63" spans="2:35" ht="18.75">
      <c r="B63" s="585"/>
      <c r="C63" s="586" t="s">
        <v>313</v>
      </c>
      <c r="D63" s="587" t="s">
        <v>314</v>
      </c>
      <c r="E63" s="575"/>
      <c r="F63" s="581"/>
      <c r="M63" s="194"/>
      <c r="O63" s="3"/>
    </row>
    <row r="64" spans="2:35" ht="18.75">
      <c r="B64" s="588" t="s">
        <v>315</v>
      </c>
      <c r="C64" s="589">
        <v>58</v>
      </c>
      <c r="D64" s="590">
        <v>58</v>
      </c>
      <c r="E64" s="575"/>
      <c r="F64" s="575"/>
      <c r="M64" s="194"/>
      <c r="O64" s="3"/>
    </row>
    <row r="65" spans="2:30" ht="18.75">
      <c r="B65" s="591" t="s">
        <v>316</v>
      </c>
      <c r="C65" s="589">
        <v>5</v>
      </c>
      <c r="D65" s="590">
        <v>5</v>
      </c>
      <c r="E65" s="581"/>
      <c r="F65" s="581"/>
      <c r="H65" s="64"/>
      <c r="I65" s="64"/>
      <c r="M65" s="194"/>
      <c r="O65" s="3"/>
    </row>
    <row r="66" spans="2:30" ht="19.5" thickBot="1">
      <c r="B66" s="592" t="s">
        <v>317</v>
      </c>
      <c r="C66" s="593">
        <v>5</v>
      </c>
      <c r="D66" s="594">
        <v>5</v>
      </c>
      <c r="E66" s="581"/>
      <c r="F66" s="581"/>
      <c r="H66" s="64"/>
      <c r="I66" s="64"/>
      <c r="M66" s="194"/>
      <c r="O66" s="3"/>
    </row>
    <row r="67" spans="2:30" ht="12" customHeight="1"/>
    <row r="68" spans="2:30" ht="12" customHeight="1" thickBot="1">
      <c r="L68" s="173"/>
      <c r="AC68" s="2"/>
      <c r="AD68" s="2"/>
    </row>
    <row r="69" spans="2:30" ht="19.5" thickBot="1">
      <c r="B69" s="67" t="s">
        <v>319</v>
      </c>
      <c r="C69" s="68"/>
      <c r="D69" s="68"/>
      <c r="E69" s="68"/>
      <c r="F69" s="68"/>
      <c r="G69" s="68" t="s">
        <v>419</v>
      </c>
      <c r="H69" s="188"/>
      <c r="I69" s="68"/>
      <c r="J69" s="69"/>
      <c r="K69" s="69"/>
      <c r="L69" s="174"/>
      <c r="M69" s="175"/>
      <c r="N69" s="383"/>
      <c r="O69" s="383"/>
      <c r="P69" s="383"/>
      <c r="S69" s="70"/>
      <c r="AC69" s="2"/>
      <c r="AD69" s="2"/>
    </row>
    <row r="70" spans="2:30" ht="18.75">
      <c r="B70" s="71"/>
      <c r="C70" s="70"/>
      <c r="D70" s="70"/>
      <c r="E70" s="70"/>
      <c r="F70" s="70"/>
      <c r="G70" s="70"/>
      <c r="H70" s="70"/>
      <c r="I70" s="70"/>
      <c r="J70" s="70"/>
      <c r="K70" s="72"/>
      <c r="L70" s="72"/>
      <c r="M70" s="70"/>
      <c r="N70" s="383"/>
      <c r="O70" s="383"/>
      <c r="P70" s="383"/>
      <c r="S70" s="70"/>
      <c r="AC70" s="2"/>
      <c r="AD70" s="2"/>
    </row>
    <row r="71" spans="2:30" ht="18.75">
      <c r="B71" s="71" t="s">
        <v>320</v>
      </c>
      <c r="C71" s="70"/>
      <c r="D71" s="70"/>
      <c r="E71" s="70"/>
      <c r="F71" s="70"/>
      <c r="G71" s="70"/>
      <c r="H71" s="70"/>
      <c r="I71" s="70"/>
      <c r="J71" s="70"/>
      <c r="K71" s="72"/>
      <c r="L71" s="72"/>
      <c r="M71" s="70"/>
      <c r="N71" s="383"/>
      <c r="O71" s="383"/>
      <c r="P71" s="383"/>
      <c r="S71" s="70"/>
      <c r="AC71" s="2"/>
      <c r="AD71" s="2"/>
    </row>
    <row r="72" spans="2:30" ht="15.75" thickBot="1">
      <c r="B72" s="2"/>
      <c r="C72" s="73"/>
      <c r="D72" s="73"/>
      <c r="E72" s="73"/>
      <c r="F72" s="73"/>
      <c r="G72" s="73"/>
      <c r="H72" s="625"/>
      <c r="I72" s="626"/>
      <c r="J72" s="625"/>
      <c r="K72" s="625"/>
      <c r="L72" s="625"/>
      <c r="M72" s="625"/>
      <c r="N72" s="627"/>
      <c r="O72" s="625"/>
      <c r="P72" s="2"/>
      <c r="Q72" s="2"/>
      <c r="R72" s="2"/>
      <c r="S72" s="2"/>
      <c r="AD72" s="2"/>
    </row>
    <row r="73" spans="2:30" ht="63">
      <c r="B73" s="683"/>
      <c r="C73" s="684"/>
      <c r="D73" s="507" t="s">
        <v>323</v>
      </c>
      <c r="E73" s="508" t="s">
        <v>324</v>
      </c>
      <c r="F73" s="508" t="s">
        <v>325</v>
      </c>
      <c r="G73" s="509" t="s">
        <v>39</v>
      </c>
      <c r="H73" s="628"/>
      <c r="I73" s="629"/>
      <c r="J73" s="510"/>
      <c r="K73" s="511"/>
      <c r="L73" s="511"/>
      <c r="M73" s="511"/>
      <c r="N73" s="510"/>
      <c r="O73" s="625"/>
      <c r="P73" s="2"/>
      <c r="Q73" s="2"/>
      <c r="R73" s="2"/>
      <c r="S73" s="2"/>
    </row>
    <row r="74" spans="2:30" ht="15.75">
      <c r="B74" s="749" t="s">
        <v>321</v>
      </c>
      <c r="C74" s="750"/>
      <c r="D74" s="512"/>
      <c r="E74" s="512">
        <v>2</v>
      </c>
      <c r="F74" s="512"/>
      <c r="G74" s="513">
        <f>SUM(D74:F74)</f>
        <v>2</v>
      </c>
      <c r="H74" s="510"/>
      <c r="I74" s="514"/>
      <c r="J74" s="514"/>
      <c r="K74" s="511" t="s">
        <v>318</v>
      </c>
      <c r="L74" s="511"/>
      <c r="M74" s="511"/>
      <c r="N74" s="510"/>
      <c r="O74" s="625"/>
      <c r="P74" s="2"/>
      <c r="Q74" s="2"/>
      <c r="R74" s="2"/>
      <c r="S74" s="2"/>
    </row>
    <row r="75" spans="2:30" ht="16.5" thickBot="1">
      <c r="B75" s="679" t="s">
        <v>322</v>
      </c>
      <c r="C75" s="680"/>
      <c r="D75" s="515"/>
      <c r="E75" s="515"/>
      <c r="F75" s="515"/>
      <c r="G75" s="516">
        <f>SUM(D75:F75)</f>
        <v>0</v>
      </c>
      <c r="H75" s="510"/>
      <c r="I75" s="510"/>
      <c r="J75" s="510"/>
      <c r="K75" s="511"/>
      <c r="L75" s="511"/>
      <c r="M75" s="511"/>
      <c r="N75" s="511"/>
      <c r="O75" s="625"/>
      <c r="P75" s="2"/>
      <c r="Q75" s="2"/>
      <c r="R75" s="2"/>
      <c r="S75" s="2"/>
    </row>
    <row r="76" spans="2:30" ht="10.5" customHeight="1">
      <c r="B76" s="511"/>
      <c r="C76" s="511"/>
      <c r="D76" s="511"/>
      <c r="E76" s="511"/>
      <c r="F76" s="511"/>
      <c r="G76" s="511"/>
      <c r="H76" s="511"/>
      <c r="I76" s="511"/>
      <c r="J76" s="511"/>
      <c r="K76" s="511"/>
      <c r="L76" s="511"/>
      <c r="M76" s="511"/>
      <c r="N76" s="511"/>
      <c r="O76" s="625"/>
      <c r="P76" s="2"/>
      <c r="Q76" s="2"/>
      <c r="R76" s="2"/>
      <c r="S76" s="2"/>
    </row>
    <row r="77" spans="2:30" ht="10.5" customHeight="1">
      <c r="B77" s="511"/>
      <c r="C77" s="511"/>
      <c r="D77" s="511"/>
      <c r="E77" s="511"/>
      <c r="F77" s="511"/>
      <c r="G77" s="511"/>
      <c r="H77" s="511"/>
      <c r="I77" s="511"/>
      <c r="J77" s="511"/>
      <c r="K77" s="511"/>
      <c r="L77" s="511"/>
      <c r="M77" s="511"/>
      <c r="N77" s="511"/>
      <c r="O77" s="625"/>
      <c r="P77" s="2"/>
      <c r="S77" s="2"/>
    </row>
    <row r="78" spans="2:30" ht="15.75">
      <c r="B78" s="517" t="s">
        <v>326</v>
      </c>
      <c r="C78" s="511"/>
      <c r="D78" s="511"/>
      <c r="E78" s="511"/>
      <c r="F78" s="511"/>
      <c r="G78" s="511"/>
      <c r="H78" s="511"/>
      <c r="I78" s="511"/>
      <c r="J78" s="511"/>
      <c r="K78" s="511"/>
      <c r="L78" s="511"/>
      <c r="M78" s="511"/>
      <c r="N78" s="511"/>
      <c r="O78" s="625"/>
      <c r="P78" s="2"/>
      <c r="S78" s="2"/>
    </row>
    <row r="79" spans="2:30" ht="16.5" thickBot="1">
      <c r="B79" s="511"/>
      <c r="C79" s="511"/>
      <c r="D79" s="511"/>
      <c r="E79" s="511"/>
      <c r="F79" s="511"/>
      <c r="G79" s="511"/>
      <c r="H79" s="511"/>
      <c r="I79" s="511"/>
      <c r="J79" s="511"/>
      <c r="K79" s="511"/>
      <c r="L79" s="511"/>
      <c r="M79" s="511"/>
      <c r="N79" s="511"/>
      <c r="O79" s="625"/>
      <c r="P79" s="2"/>
      <c r="S79" s="2"/>
    </row>
    <row r="80" spans="2:30" ht="15.75">
      <c r="B80" s="518"/>
      <c r="C80" s="519" t="s">
        <v>327</v>
      </c>
      <c r="D80" s="519" t="s">
        <v>328</v>
      </c>
      <c r="E80" s="520" t="s">
        <v>329</v>
      </c>
      <c r="F80" s="510"/>
      <c r="G80" s="510"/>
      <c r="H80" s="510"/>
      <c r="I80" s="629"/>
      <c r="J80" s="511"/>
      <c r="K80" s="511"/>
      <c r="L80" s="511"/>
      <c r="M80" s="511"/>
      <c r="N80" s="511"/>
      <c r="O80" s="625"/>
      <c r="P80" s="2"/>
      <c r="S80" s="2"/>
    </row>
    <row r="81" spans="2:36" ht="16.5" thickBot="1">
      <c r="B81" s="521" t="s">
        <v>417</v>
      </c>
      <c r="C81" s="522">
        <v>14</v>
      </c>
      <c r="D81" s="522">
        <v>14</v>
      </c>
      <c r="E81" s="523">
        <f>+C81-D81</f>
        <v>0</v>
      </c>
      <c r="F81" s="524"/>
      <c r="G81" s="525"/>
      <c r="H81" s="510"/>
      <c r="I81" s="514"/>
      <c r="J81" s="511"/>
      <c r="K81" s="511"/>
      <c r="L81" s="511"/>
      <c r="M81" s="511"/>
      <c r="N81" s="511"/>
      <c r="O81" s="625"/>
      <c r="P81" s="2"/>
      <c r="S81" s="2"/>
    </row>
    <row r="82" spans="2:36" ht="15.75">
      <c r="B82" s="511"/>
      <c r="C82" s="511"/>
      <c r="D82" s="511"/>
      <c r="E82" s="511"/>
      <c r="F82" s="511"/>
      <c r="G82" s="511"/>
      <c r="H82" s="511"/>
      <c r="I82" s="511"/>
      <c r="J82" s="511"/>
      <c r="K82" s="511"/>
      <c r="L82" s="511"/>
      <c r="M82" s="511"/>
      <c r="N82" s="511"/>
      <c r="O82" s="625"/>
      <c r="P82" s="2"/>
      <c r="S82" s="2"/>
    </row>
    <row r="83" spans="2:36" ht="15.75">
      <c r="B83" s="517" t="s">
        <v>330</v>
      </c>
      <c r="C83" s="511"/>
      <c r="D83" s="511"/>
      <c r="E83" s="511"/>
      <c r="F83" s="511"/>
      <c r="G83" s="511"/>
      <c r="H83" s="511"/>
      <c r="I83" s="511"/>
      <c r="J83" s="511"/>
      <c r="K83" s="511"/>
      <c r="L83" s="511"/>
      <c r="M83" s="511"/>
      <c r="N83" s="511"/>
      <c r="O83" s="625"/>
      <c r="P83" s="2"/>
      <c r="S83" s="2"/>
    </row>
    <row r="84" spans="2:36" ht="16.5" thickBot="1">
      <c r="B84" s="511"/>
      <c r="C84" s="511"/>
      <c r="D84" s="511"/>
      <c r="E84" s="511"/>
      <c r="F84" s="511"/>
      <c r="G84" s="511"/>
      <c r="H84" s="511"/>
      <c r="I84" s="511"/>
      <c r="J84" s="511"/>
      <c r="K84" s="511"/>
      <c r="L84" s="511"/>
      <c r="M84" s="511"/>
      <c r="N84" s="511"/>
      <c r="O84" s="625"/>
      <c r="P84" s="2"/>
      <c r="S84" s="2"/>
    </row>
    <row r="85" spans="2:36" ht="31.5">
      <c r="B85" s="518"/>
      <c r="C85" s="519" t="s">
        <v>331</v>
      </c>
      <c r="D85" s="519" t="s">
        <v>332</v>
      </c>
      <c r="E85" s="519" t="s">
        <v>333</v>
      </c>
      <c r="F85" s="519" t="s">
        <v>334</v>
      </c>
      <c r="G85" s="526" t="s">
        <v>335</v>
      </c>
      <c r="H85" s="630"/>
      <c r="I85" s="629"/>
      <c r="J85" s="511"/>
      <c r="K85" s="511"/>
      <c r="L85" s="511"/>
      <c r="M85" s="511"/>
      <c r="N85" s="511"/>
      <c r="O85" s="625"/>
      <c r="P85" s="2"/>
      <c r="S85" s="2"/>
    </row>
    <row r="86" spans="2:36" ht="16.5" thickBot="1">
      <c r="B86" s="521" t="s">
        <v>77</v>
      </c>
      <c r="C86" s="522">
        <v>2</v>
      </c>
      <c r="D86" s="522">
        <v>2</v>
      </c>
      <c r="E86" s="522">
        <v>2</v>
      </c>
      <c r="F86" s="522">
        <v>2</v>
      </c>
      <c r="G86" s="527">
        <v>2</v>
      </c>
      <c r="H86" s="528"/>
      <c r="I86" s="510"/>
      <c r="J86" s="511"/>
      <c r="K86" s="511"/>
      <c r="L86" s="511"/>
      <c r="M86" s="511"/>
      <c r="N86" s="511"/>
      <c r="O86" s="625"/>
      <c r="P86" s="2"/>
      <c r="S86" s="2"/>
    </row>
    <row r="87" spans="2:36" ht="15.75">
      <c r="B87" s="511"/>
      <c r="C87" s="529"/>
      <c r="D87" s="529"/>
      <c r="E87" s="529"/>
      <c r="F87" s="529"/>
      <c r="G87" s="529"/>
      <c r="H87" s="511"/>
      <c r="I87" s="530"/>
      <c r="J87" s="511"/>
      <c r="K87" s="511"/>
      <c r="L87" s="511"/>
      <c r="M87" s="511"/>
      <c r="N87" s="511"/>
      <c r="O87" s="625"/>
      <c r="P87" s="2"/>
      <c r="S87" s="2"/>
    </row>
    <row r="88" spans="2:36" ht="15.75">
      <c r="B88" s="517" t="s">
        <v>336</v>
      </c>
      <c r="C88" s="511"/>
      <c r="D88" s="511"/>
      <c r="E88" s="511"/>
      <c r="F88" s="511"/>
      <c r="G88" s="511"/>
      <c r="H88" s="511"/>
      <c r="I88" s="511"/>
      <c r="J88" s="511"/>
      <c r="K88" s="511"/>
      <c r="L88" s="511"/>
      <c r="M88" s="511"/>
      <c r="N88" s="511"/>
      <c r="O88" s="625"/>
      <c r="P88" s="2"/>
      <c r="S88" s="2"/>
    </row>
    <row r="89" spans="2:36" ht="16.5" thickBot="1">
      <c r="B89" s="511"/>
      <c r="C89" s="511"/>
      <c r="D89" s="511"/>
      <c r="E89" s="511"/>
      <c r="F89" s="511"/>
      <c r="G89" s="511"/>
      <c r="H89" s="511"/>
      <c r="I89" s="511"/>
      <c r="J89" s="511"/>
      <c r="K89" s="511"/>
      <c r="L89" s="511"/>
      <c r="M89" s="511"/>
      <c r="N89" s="511"/>
      <c r="O89" s="625"/>
      <c r="P89" s="2"/>
      <c r="S89" s="2"/>
    </row>
    <row r="90" spans="2:36" ht="15.75">
      <c r="B90" s="518"/>
      <c r="C90" s="507" t="s">
        <v>339</v>
      </c>
      <c r="D90" s="507" t="s">
        <v>340</v>
      </c>
      <c r="E90" s="509" t="s">
        <v>341</v>
      </c>
      <c r="F90" s="511"/>
      <c r="G90" s="511"/>
      <c r="H90" s="511"/>
      <c r="I90" s="511"/>
      <c r="J90" s="511"/>
      <c r="K90" s="511"/>
      <c r="L90" s="511"/>
      <c r="M90" s="530"/>
      <c r="N90" s="530"/>
      <c r="O90" s="625"/>
      <c r="AG90" s="194"/>
      <c r="AJ90" s="3"/>
    </row>
    <row r="91" spans="2:36" ht="15.75">
      <c r="B91" s="531" t="s">
        <v>337</v>
      </c>
      <c r="C91" s="512">
        <v>8</v>
      </c>
      <c r="D91" s="532">
        <v>8</v>
      </c>
      <c r="E91" s="533">
        <f>C91-D91</f>
        <v>0</v>
      </c>
      <c r="F91" s="511"/>
      <c r="G91" s="511"/>
      <c r="H91" s="511"/>
      <c r="I91" s="511"/>
      <c r="J91" s="511"/>
      <c r="K91" s="511"/>
      <c r="L91" s="511"/>
      <c r="M91" s="530"/>
      <c r="N91" s="530"/>
      <c r="O91" s="625"/>
      <c r="AG91" s="194"/>
      <c r="AJ91" s="3"/>
    </row>
    <row r="92" spans="2:36" ht="16.5" thickBot="1">
      <c r="B92" s="534" t="s">
        <v>338</v>
      </c>
      <c r="C92" s="515">
        <v>4</v>
      </c>
      <c r="D92" s="535">
        <v>4</v>
      </c>
      <c r="E92" s="536">
        <f>C92-D92</f>
        <v>0</v>
      </c>
      <c r="F92" s="511"/>
      <c r="G92" s="511"/>
      <c r="H92" s="511"/>
      <c r="I92" s="511"/>
      <c r="J92" s="511"/>
      <c r="K92" s="511"/>
      <c r="L92" s="511"/>
      <c r="M92" s="530"/>
      <c r="N92" s="530"/>
      <c r="O92" s="625"/>
      <c r="AG92" s="194"/>
      <c r="AJ92" s="3"/>
    </row>
    <row r="93" spans="2:36" ht="15.75">
      <c r="B93" s="511"/>
      <c r="C93" s="511"/>
      <c r="D93" s="511"/>
      <c r="E93" s="511"/>
      <c r="F93" s="511"/>
      <c r="G93" s="511"/>
      <c r="H93" s="511"/>
      <c r="I93" s="511"/>
      <c r="J93" s="511"/>
      <c r="K93" s="511"/>
      <c r="L93" s="511"/>
      <c r="M93" s="511"/>
      <c r="N93" s="511"/>
      <c r="O93" s="625"/>
      <c r="P93" s="2"/>
      <c r="S93" s="2"/>
    </row>
    <row r="94" spans="2:36" ht="15.75">
      <c r="B94" s="517" t="s">
        <v>342</v>
      </c>
      <c r="C94" s="511"/>
      <c r="D94" s="511"/>
      <c r="E94" s="511"/>
      <c r="F94" s="511"/>
      <c r="G94" s="511"/>
      <c r="H94" s="511"/>
      <c r="I94" s="511"/>
      <c r="J94" s="511"/>
      <c r="K94" s="511"/>
      <c r="L94" s="511"/>
      <c r="M94" s="511"/>
      <c r="N94" s="511"/>
      <c r="O94" s="625"/>
      <c r="P94" s="2"/>
      <c r="S94" s="2"/>
    </row>
    <row r="95" spans="2:36" ht="16.5" thickBot="1">
      <c r="B95" s="511"/>
      <c r="C95" s="511"/>
      <c r="D95" s="511"/>
      <c r="E95" s="511"/>
      <c r="F95" s="511"/>
      <c r="G95" s="511"/>
      <c r="H95" s="511"/>
      <c r="I95" s="510"/>
      <c r="J95" s="510"/>
      <c r="K95" s="510"/>
      <c r="L95" s="510"/>
      <c r="M95" s="510"/>
      <c r="N95" s="510"/>
      <c r="O95" s="627"/>
      <c r="P95" s="15"/>
      <c r="S95" s="2"/>
    </row>
    <row r="96" spans="2:36" ht="15.75">
      <c r="B96" s="537"/>
      <c r="C96" s="538" t="s">
        <v>60</v>
      </c>
      <c r="D96" s="538" t="s">
        <v>61</v>
      </c>
      <c r="E96" s="538" t="s">
        <v>62</v>
      </c>
      <c r="F96" s="538" t="s">
        <v>63</v>
      </c>
      <c r="G96" s="538" t="s">
        <v>70</v>
      </c>
      <c r="H96" s="538" t="s">
        <v>71</v>
      </c>
      <c r="I96" s="538" t="s">
        <v>72</v>
      </c>
      <c r="J96" s="538" t="s">
        <v>73</v>
      </c>
      <c r="K96" s="538" t="s">
        <v>74</v>
      </c>
      <c r="L96" s="538" t="s">
        <v>75</v>
      </c>
      <c r="M96" s="538" t="s">
        <v>76</v>
      </c>
      <c r="N96" s="539" t="s">
        <v>230</v>
      </c>
      <c r="O96" s="15"/>
      <c r="P96" s="15"/>
      <c r="S96" s="2"/>
    </row>
    <row r="97" spans="2:19" ht="15" customHeight="1">
      <c r="B97" s="540" t="s">
        <v>343</v>
      </c>
      <c r="C97" s="541">
        <f>1512223.78/2</f>
        <v>756111.89</v>
      </c>
      <c r="D97" s="541">
        <f>1512223.78/2</f>
        <v>756111.89</v>
      </c>
      <c r="E97" s="542">
        <v>2475302.91</v>
      </c>
      <c r="F97" s="542">
        <v>1593218.16</v>
      </c>
      <c r="G97" s="542">
        <v>1193873.6000000001</v>
      </c>
      <c r="H97" s="541"/>
      <c r="I97" s="541"/>
      <c r="J97" s="542"/>
      <c r="K97" s="542"/>
      <c r="L97" s="542"/>
      <c r="M97" s="542"/>
      <c r="N97" s="543"/>
      <c r="O97" s="15"/>
      <c r="P97" s="15"/>
      <c r="S97" s="2"/>
    </row>
    <row r="98" spans="2:19" ht="15" customHeight="1">
      <c r="B98" s="540" t="s">
        <v>344</v>
      </c>
      <c r="C98" s="541">
        <v>1079919</v>
      </c>
      <c r="D98" s="541">
        <v>1889082.86</v>
      </c>
      <c r="E98" s="542">
        <v>821894.71</v>
      </c>
      <c r="F98" s="542">
        <v>530580.25604226917</v>
      </c>
      <c r="G98" s="542">
        <v>1934877.51</v>
      </c>
      <c r="H98" s="541"/>
      <c r="I98" s="541"/>
      <c r="J98" s="542"/>
      <c r="K98" s="542"/>
      <c r="L98" s="542"/>
      <c r="M98" s="542"/>
      <c r="N98" s="543"/>
      <c r="O98" s="15"/>
      <c r="P98" s="15"/>
      <c r="S98" s="2"/>
    </row>
    <row r="99" spans="2:19" ht="15" customHeight="1">
      <c r="B99" s="540" t="s">
        <v>345</v>
      </c>
      <c r="C99" s="541">
        <v>708982.7</v>
      </c>
      <c r="D99" s="541">
        <v>1410817.85</v>
      </c>
      <c r="E99" s="542">
        <v>1016430.44</v>
      </c>
      <c r="F99" s="542">
        <v>827742.26</v>
      </c>
      <c r="G99" s="542">
        <v>1577623.75</v>
      </c>
      <c r="H99" s="541"/>
      <c r="I99" s="541"/>
      <c r="J99" s="542"/>
      <c r="K99" s="542"/>
      <c r="L99" s="542"/>
      <c r="M99" s="542"/>
      <c r="N99" s="543"/>
      <c r="O99" s="15"/>
      <c r="P99" s="15"/>
      <c r="S99" s="2"/>
    </row>
    <row r="100" spans="2:19" ht="15" customHeight="1">
      <c r="B100" s="544" t="s">
        <v>346</v>
      </c>
      <c r="C100" s="545">
        <f>C97</f>
        <v>756111.89</v>
      </c>
      <c r="D100" s="546">
        <f>C97+D97</f>
        <v>1512223.78</v>
      </c>
      <c r="E100" s="547">
        <f>E97+D97+C97</f>
        <v>3987526.6900000004</v>
      </c>
      <c r="F100" s="547">
        <f>C97+F97+E97+D97</f>
        <v>5580744.8499999996</v>
      </c>
      <c r="G100" s="547">
        <f>C97+D97+G97+F97+E97</f>
        <v>6774618.4500000002</v>
      </c>
      <c r="H100" s="546"/>
      <c r="I100" s="546"/>
      <c r="J100" s="547"/>
      <c r="K100" s="547"/>
      <c r="L100" s="546"/>
      <c r="M100" s="546"/>
      <c r="N100" s="548"/>
      <c r="O100" s="15"/>
      <c r="P100" s="15"/>
      <c r="S100" s="2"/>
    </row>
    <row r="101" spans="2:19" ht="15" customHeight="1">
      <c r="B101" s="544" t="s">
        <v>347</v>
      </c>
      <c r="C101" s="545">
        <f>C98</f>
        <v>1079919</v>
      </c>
      <c r="D101" s="546">
        <f>C98+D98</f>
        <v>2969001.8600000003</v>
      </c>
      <c r="E101" s="547">
        <f>E98+D98+C98</f>
        <v>3790896.5700000003</v>
      </c>
      <c r="F101" s="547">
        <f>C98+F98+E98+D98</f>
        <v>4321476.8260422694</v>
      </c>
      <c r="G101" s="547">
        <f>C98+D98+G98+F98+E98</f>
        <v>6256354.3360422691</v>
      </c>
      <c r="H101" s="546"/>
      <c r="I101" s="546"/>
      <c r="J101" s="547"/>
      <c r="K101" s="547"/>
      <c r="L101" s="546"/>
      <c r="M101" s="546"/>
      <c r="N101" s="548"/>
      <c r="O101" s="15"/>
      <c r="P101" s="15"/>
      <c r="S101" s="2"/>
    </row>
    <row r="102" spans="2:19" ht="16.5" thickBot="1">
      <c r="B102" s="549" t="s">
        <v>348</v>
      </c>
      <c r="C102" s="550">
        <f>C99</f>
        <v>708982.7</v>
      </c>
      <c r="D102" s="552">
        <f>C99+D99</f>
        <v>2119800.5499999998</v>
      </c>
      <c r="E102" s="551">
        <f>E99+D99+C99</f>
        <v>3136230.99</v>
      </c>
      <c r="F102" s="551">
        <f>C99+F99+E99+D99</f>
        <v>3963973.25</v>
      </c>
      <c r="G102" s="551">
        <f>C99+D99+G99+F99+E99</f>
        <v>5541597</v>
      </c>
      <c r="H102" s="552"/>
      <c r="I102" s="552"/>
      <c r="J102" s="551"/>
      <c r="K102" s="551"/>
      <c r="L102" s="552"/>
      <c r="M102" s="552"/>
      <c r="N102" s="553"/>
      <c r="O102" s="15"/>
      <c r="P102" s="15"/>
      <c r="S102" s="2"/>
    </row>
    <row r="103" spans="2:19">
      <c r="C103" s="2"/>
      <c r="D103" s="2"/>
      <c r="E103" s="2"/>
      <c r="F103" s="2"/>
      <c r="G103" s="2"/>
      <c r="H103" s="2"/>
      <c r="I103" s="15"/>
      <c r="J103" s="74"/>
      <c r="K103" s="75"/>
      <c r="L103" s="15"/>
      <c r="M103" s="76"/>
      <c r="N103" s="15"/>
      <c r="O103" s="15"/>
      <c r="P103" s="15"/>
      <c r="S103" s="2"/>
    </row>
    <row r="104" spans="2:19">
      <c r="B104" s="2" t="s">
        <v>425</v>
      </c>
      <c r="C104" s="2"/>
      <c r="D104" s="2"/>
      <c r="E104" s="2"/>
      <c r="F104" s="2"/>
      <c r="G104" s="2"/>
      <c r="H104" s="2"/>
      <c r="I104" s="15"/>
      <c r="J104" s="74"/>
      <c r="K104" s="75"/>
      <c r="L104" s="15"/>
      <c r="M104" s="76"/>
      <c r="N104" s="15"/>
      <c r="O104" s="15"/>
      <c r="P104" s="15"/>
      <c r="S104" s="2"/>
    </row>
    <row r="105" spans="2:19" hidden="1" outlineLevel="1">
      <c r="C105" s="2"/>
      <c r="D105" s="2"/>
      <c r="E105" s="2"/>
      <c r="F105" s="2"/>
      <c r="G105" s="2"/>
      <c r="H105" s="2"/>
      <c r="I105" s="15"/>
      <c r="J105" s="74"/>
      <c r="K105" s="76"/>
      <c r="L105" s="15"/>
      <c r="M105" s="76"/>
      <c r="N105" s="384"/>
      <c r="O105" s="15"/>
      <c r="P105" s="15"/>
      <c r="S105" s="2"/>
    </row>
    <row r="106" spans="2:19" hidden="1" outlineLevel="1">
      <c r="I106" s="15"/>
      <c r="J106" s="15"/>
      <c r="K106" s="15"/>
      <c r="L106" s="15"/>
      <c r="M106" s="15"/>
      <c r="N106" s="384"/>
      <c r="O106" s="15"/>
      <c r="P106" s="15"/>
    </row>
    <row r="107" spans="2:19" ht="18.75" hidden="1" outlineLevel="1">
      <c r="B107" s="71" t="s">
        <v>349</v>
      </c>
      <c r="I107" s="15"/>
      <c r="J107" s="15"/>
      <c r="K107" s="15"/>
      <c r="L107" s="15"/>
      <c r="M107" s="15"/>
      <c r="N107" s="384"/>
      <c r="O107" s="15"/>
      <c r="P107" s="15"/>
    </row>
    <row r="108" spans="2:19" ht="15.75" hidden="1" outlineLevel="1" thickBot="1">
      <c r="C108" s="15"/>
      <c r="D108" s="15"/>
      <c r="E108" s="15"/>
      <c r="F108" s="15"/>
      <c r="G108" s="2"/>
      <c r="H108" s="2"/>
      <c r="I108" s="2"/>
      <c r="J108" s="15"/>
      <c r="K108" s="2"/>
      <c r="L108" s="15"/>
      <c r="M108" s="15"/>
      <c r="N108" s="15"/>
      <c r="O108" s="15"/>
      <c r="P108" s="15"/>
      <c r="Q108" s="2"/>
      <c r="S108" s="15"/>
    </row>
    <row r="109" spans="2:19" ht="90.75" hidden="1" customHeight="1" outlineLevel="1">
      <c r="B109" s="140" t="s">
        <v>350</v>
      </c>
      <c r="C109" s="141" t="s">
        <v>351</v>
      </c>
      <c r="D109" s="385" t="s">
        <v>352</v>
      </c>
      <c r="E109" s="385" t="s">
        <v>353</v>
      </c>
      <c r="F109" s="386" t="s">
        <v>354</v>
      </c>
      <c r="G109" s="386" t="s">
        <v>355</v>
      </c>
      <c r="H109" s="385" t="s">
        <v>356</v>
      </c>
      <c r="I109" s="385" t="s">
        <v>376</v>
      </c>
      <c r="J109" s="385" t="s">
        <v>357</v>
      </c>
      <c r="K109" s="142" t="s">
        <v>358</v>
      </c>
      <c r="L109" s="2"/>
      <c r="M109" s="15"/>
      <c r="N109" s="15"/>
      <c r="O109" s="15"/>
      <c r="P109" s="2"/>
      <c r="R109" s="15"/>
    </row>
    <row r="110" spans="2:19" hidden="1" outlineLevel="1">
      <c r="B110" s="685" t="s">
        <v>268</v>
      </c>
      <c r="C110" s="387" t="s">
        <v>268</v>
      </c>
      <c r="D110" s="388"/>
      <c r="E110" s="171" t="str">
        <f>IF(ISBLANK(D110),"",D110*30)</f>
        <v/>
      </c>
      <c r="F110" s="389"/>
      <c r="G110" s="163" t="str">
        <f>IF(AND(E110&gt;0,F110&gt;0),(F110*E110),"")</f>
        <v/>
      </c>
      <c r="H110" s="389"/>
      <c r="I110" s="178" t="str">
        <f>IF(AND(G110&gt;0,H110&gt;0),H110/G110,"")</f>
        <v/>
      </c>
      <c r="J110" s="390"/>
      <c r="K110" s="184" t="str">
        <f>IF(AND(I110&gt;0,J110&gt;0),I110-J110,"")</f>
        <v/>
      </c>
      <c r="L110" s="2"/>
      <c r="M110" s="15"/>
      <c r="N110" s="15"/>
      <c r="O110" s="15"/>
      <c r="P110" s="2"/>
      <c r="R110" s="15"/>
    </row>
    <row r="111" spans="2:19" hidden="1" outlineLevel="1">
      <c r="B111" s="686"/>
      <c r="C111" s="387" t="s">
        <v>268</v>
      </c>
      <c r="D111" s="388"/>
      <c r="E111" s="171" t="str">
        <f>IF(ISBLANK(D111),"",D111*30)</f>
        <v/>
      </c>
      <c r="F111" s="389"/>
      <c r="G111" s="163" t="str">
        <f>IF(AND(E111&gt;0,F111&gt;0),(F111*E111),"")</f>
        <v/>
      </c>
      <c r="H111" s="389"/>
      <c r="I111" s="178" t="str">
        <f>IF(AND(G111&gt;0,H111&gt;0),H111/G111,"")</f>
        <v/>
      </c>
      <c r="J111" s="390"/>
      <c r="K111" s="184" t="str">
        <f>IF(AND(I111&gt;0,J111&gt;0),I111-J111,"")</f>
        <v/>
      </c>
      <c r="L111" s="2"/>
      <c r="M111" s="15"/>
      <c r="N111" s="15"/>
      <c r="O111" s="15"/>
      <c r="P111" s="2"/>
    </row>
    <row r="112" spans="2:19" hidden="1" outlineLevel="1">
      <c r="B112" s="686"/>
      <c r="C112" s="387" t="s">
        <v>268</v>
      </c>
      <c r="D112" s="388"/>
      <c r="E112" s="171" t="str">
        <f>IF(ISBLANK(D112),"",D112*30)</f>
        <v/>
      </c>
      <c r="F112" s="389"/>
      <c r="G112" s="163" t="str">
        <f>IF(AND(E112&gt;0,F112&gt;0),(F112*E112),"")</f>
        <v/>
      </c>
      <c r="H112" s="389"/>
      <c r="I112" s="178" t="str">
        <f>IF(AND(G112&gt;0,H112&gt;0),H112/G112,"")</f>
        <v/>
      </c>
      <c r="J112" s="390"/>
      <c r="K112" s="184" t="str">
        <f>IF(AND(I112&gt;0,J112&gt;0),I112-J112,"")</f>
        <v/>
      </c>
      <c r="L112" s="2"/>
      <c r="M112" s="15"/>
      <c r="N112" s="15"/>
      <c r="O112" s="15"/>
      <c r="P112" s="2"/>
      <c r="R112" s="15"/>
    </row>
    <row r="113" spans="2:20" ht="15.75" hidden="1" outlineLevel="1" thickBot="1">
      <c r="B113" s="687"/>
      <c r="C113" s="391" t="s">
        <v>268</v>
      </c>
      <c r="D113" s="392"/>
      <c r="E113" s="181" t="str">
        <f>IF(ISBLANK(D113),"",D113*30)</f>
        <v/>
      </c>
      <c r="F113" s="393"/>
      <c r="G113" s="182" t="str">
        <f>IF(AND(E113&gt;0,F113&gt;0),(F113*E113),"")</f>
        <v/>
      </c>
      <c r="H113" s="393"/>
      <c r="I113" s="183" t="str">
        <f>IF(AND(G113&gt;0,H113&gt;0),H113/G113,"")</f>
        <v/>
      </c>
      <c r="J113" s="394"/>
      <c r="K113" s="185" t="str">
        <f>IF(AND(I113&gt;0,J113&gt;0),I113-J113,"")</f>
        <v/>
      </c>
      <c r="L113" s="2"/>
      <c r="M113" s="15"/>
      <c r="N113" s="15"/>
      <c r="O113" s="15"/>
      <c r="P113" s="2"/>
      <c r="R113" s="15"/>
    </row>
    <row r="114" spans="2:20" ht="13.5" customHeight="1" collapsed="1" thickBot="1">
      <c r="G114" s="2"/>
      <c r="H114" s="2"/>
      <c r="I114" s="2"/>
      <c r="L114" s="2"/>
      <c r="M114" s="2"/>
      <c r="N114" s="15"/>
      <c r="O114" s="15"/>
      <c r="P114" s="15"/>
      <c r="Q114" s="2"/>
      <c r="S114" s="15"/>
    </row>
    <row r="115" spans="2:20" ht="15.75" hidden="1" thickBot="1">
      <c r="I115" s="2"/>
      <c r="J115" s="70"/>
      <c r="K115" s="70"/>
    </row>
    <row r="116" spans="2:20" ht="19.5" thickBot="1">
      <c r="B116" s="117" t="s">
        <v>359</v>
      </c>
      <c r="C116" s="77"/>
      <c r="D116" s="77"/>
      <c r="E116" s="78"/>
      <c r="F116" s="78"/>
      <c r="G116" s="78"/>
      <c r="H116" s="123"/>
      <c r="I116" s="118"/>
      <c r="J116" s="152"/>
      <c r="K116" s="153" t="s">
        <v>414</v>
      </c>
      <c r="L116" s="78"/>
      <c r="M116" s="154"/>
      <c r="N116" s="154"/>
      <c r="O116" s="154"/>
      <c r="P116" s="395"/>
      <c r="Q116" s="194"/>
    </row>
    <row r="117" spans="2:20" ht="15.75" thickBot="1">
      <c r="N117" s="3"/>
      <c r="O117" s="3"/>
      <c r="P117" s="194"/>
      <c r="Q117" s="194"/>
    </row>
    <row r="118" spans="2:20" ht="15.75">
      <c r="B118" s="751" t="s">
        <v>362</v>
      </c>
      <c r="C118" s="752"/>
      <c r="D118" s="753"/>
      <c r="E118" s="443" t="s">
        <v>462</v>
      </c>
      <c r="F118" s="444" t="s">
        <v>465</v>
      </c>
      <c r="G118" s="445"/>
      <c r="H118" s="446" t="s">
        <v>60</v>
      </c>
      <c r="I118" s="446" t="s">
        <v>61</v>
      </c>
      <c r="J118" s="446" t="s">
        <v>62</v>
      </c>
      <c r="K118" s="446" t="s">
        <v>63</v>
      </c>
      <c r="L118" s="446" t="s">
        <v>70</v>
      </c>
      <c r="M118" s="446" t="s">
        <v>71</v>
      </c>
      <c r="N118" s="446" t="s">
        <v>72</v>
      </c>
      <c r="O118" s="446" t="s">
        <v>73</v>
      </c>
      <c r="P118" s="446" t="s">
        <v>74</v>
      </c>
      <c r="Q118" s="446" t="s">
        <v>75</v>
      </c>
      <c r="R118" s="446" t="s">
        <v>76</v>
      </c>
      <c r="S118" s="446" t="s">
        <v>230</v>
      </c>
      <c r="T118" s="5"/>
    </row>
    <row r="119" spans="2:20" ht="15.75">
      <c r="B119" s="678" t="str">
        <f>VLOOKUP(T119,Table1[],4,0)</f>
        <v>TB I-3(M): Rata mortalităţii  - Numărul estimat de decese cauzate de TB (toate formele) pe an, la 100,000 persoane</v>
      </c>
      <c r="C119" s="678"/>
      <c r="D119" s="678"/>
      <c r="E119" s="668" t="str">
        <f>VLOOKUP(T119,Table1[],2,0)</f>
        <v>Indicator de impact</v>
      </c>
      <c r="F119" s="670" t="str">
        <f>VLOOKUP(T119,Table1[],3,0)</f>
        <v>TB</v>
      </c>
      <c r="G119" s="447" t="s">
        <v>360</v>
      </c>
      <c r="H119" s="448">
        <v>8.6999999999999993</v>
      </c>
      <c r="I119" s="448">
        <v>8.1999999999999993</v>
      </c>
      <c r="J119" s="448">
        <v>8.1999999999999993</v>
      </c>
      <c r="K119" s="448">
        <v>7.7</v>
      </c>
      <c r="L119" s="448">
        <v>7.7</v>
      </c>
      <c r="M119" s="448">
        <v>7.2</v>
      </c>
      <c r="N119" s="448"/>
      <c r="O119" s="448"/>
      <c r="P119" s="448"/>
      <c r="Q119" s="448"/>
      <c r="R119" s="448"/>
      <c r="S119" s="449"/>
      <c r="T119" s="398">
        <v>1</v>
      </c>
    </row>
    <row r="120" spans="2:20" ht="15.75">
      <c r="B120" s="678"/>
      <c r="C120" s="678"/>
      <c r="D120" s="678"/>
      <c r="E120" s="669"/>
      <c r="F120" s="671"/>
      <c r="G120" s="447" t="s">
        <v>361</v>
      </c>
      <c r="H120" s="450">
        <v>7.94</v>
      </c>
      <c r="I120" s="451">
        <v>7.54</v>
      </c>
      <c r="J120" s="451">
        <v>7.54</v>
      </c>
      <c r="K120" s="451">
        <v>5.92</v>
      </c>
      <c r="L120" s="451">
        <v>7.9</v>
      </c>
      <c r="M120" s="451"/>
      <c r="N120" s="451"/>
      <c r="O120" s="451"/>
      <c r="P120" s="451"/>
      <c r="Q120" s="451"/>
      <c r="R120" s="451"/>
      <c r="S120" s="452"/>
      <c r="T120" s="398"/>
    </row>
    <row r="121" spans="2:20" ht="15.75">
      <c r="B121" s="664" t="str">
        <f>VLOOKUP(T121,Table1[],4,0)</f>
        <v xml:space="preserve">TB I-4(M): Prevalența TB MDR printre cazurile noi de tuberculoză </v>
      </c>
      <c r="C121" s="664"/>
      <c r="D121" s="664"/>
      <c r="E121" s="674" t="str">
        <f>VLOOKUP(T121,Table1[],2,0)</f>
        <v>Indicator de impact</v>
      </c>
      <c r="F121" s="672" t="str">
        <f>VLOOKUP(T121,Table1[],3,0)</f>
        <v>TB</v>
      </c>
      <c r="G121" s="453" t="s">
        <v>360</v>
      </c>
      <c r="H121" s="454">
        <v>0.20499999999999999</v>
      </c>
      <c r="I121" s="454">
        <v>0.24</v>
      </c>
      <c r="J121" s="454">
        <v>0.24</v>
      </c>
      <c r="K121" s="454">
        <v>0.23</v>
      </c>
      <c r="L121" s="454">
        <v>0.23</v>
      </c>
      <c r="M121" s="454">
        <v>0.21</v>
      </c>
      <c r="N121" s="454"/>
      <c r="O121" s="455"/>
      <c r="P121" s="455"/>
      <c r="Q121" s="455"/>
      <c r="R121" s="455"/>
      <c r="S121" s="456"/>
      <c r="T121" s="398">
        <v>2</v>
      </c>
    </row>
    <row r="122" spans="2:20" ht="15.75">
      <c r="B122" s="664"/>
      <c r="C122" s="664"/>
      <c r="D122" s="664"/>
      <c r="E122" s="675"/>
      <c r="F122" s="673"/>
      <c r="G122" s="453" t="s">
        <v>361</v>
      </c>
      <c r="H122" s="457">
        <v>0.26600000000000001</v>
      </c>
      <c r="I122" s="457">
        <v>0.27600000000000002</v>
      </c>
      <c r="J122" s="457">
        <v>0.27700000000000002</v>
      </c>
      <c r="K122" s="457">
        <v>0.28260000000000002</v>
      </c>
      <c r="L122" s="457">
        <v>0.26900000000000002</v>
      </c>
      <c r="M122" s="457"/>
      <c r="N122" s="457"/>
      <c r="O122" s="458"/>
      <c r="P122" s="458"/>
      <c r="Q122" s="458"/>
      <c r="R122" s="458"/>
      <c r="S122" s="459"/>
      <c r="T122" s="398"/>
    </row>
    <row r="123" spans="2:20" ht="15.75">
      <c r="B123" s="678" t="str">
        <f>VLOOKUP(T123,Table1[],4,0)</f>
        <v>HIV I-4: Mortalitatea asociată cu SIDA la 100,000 populaţie</v>
      </c>
      <c r="C123" s="678"/>
      <c r="D123" s="678"/>
      <c r="E123" s="681" t="str">
        <f>VLOOKUP(T123,Table1[],2,0)</f>
        <v>Indicator de impact</v>
      </c>
      <c r="F123" s="670" t="str">
        <f>VLOOKUP(T123,Table1[],3,0)</f>
        <v>HIV</v>
      </c>
      <c r="G123" s="447" t="s">
        <v>360</v>
      </c>
      <c r="H123" s="646">
        <v>3.06</v>
      </c>
      <c r="I123" s="460" t="s">
        <v>505</v>
      </c>
      <c r="J123" s="646">
        <v>3.8</v>
      </c>
      <c r="K123" s="461" t="s">
        <v>505</v>
      </c>
      <c r="L123" s="646">
        <v>3.7</v>
      </c>
      <c r="M123" s="461" t="s">
        <v>505</v>
      </c>
      <c r="N123" s="646">
        <v>3.6</v>
      </c>
      <c r="O123" s="461"/>
      <c r="P123" s="461"/>
      <c r="Q123" s="461"/>
      <c r="R123" s="461"/>
      <c r="S123" s="462"/>
      <c r="T123" s="398">
        <v>3</v>
      </c>
    </row>
    <row r="124" spans="2:20" ht="15.75">
      <c r="B124" s="678"/>
      <c r="C124" s="678"/>
      <c r="D124" s="678"/>
      <c r="E124" s="682"/>
      <c r="F124" s="671"/>
      <c r="G124" s="447" t="s">
        <v>361</v>
      </c>
      <c r="H124" s="647">
        <v>3.6</v>
      </c>
      <c r="I124" s="641" t="s">
        <v>505</v>
      </c>
      <c r="J124" s="647">
        <v>4.2699999999999996</v>
      </c>
      <c r="K124" s="633" t="s">
        <v>505</v>
      </c>
      <c r="L124" s="647">
        <v>3.9</v>
      </c>
      <c r="M124" s="633"/>
      <c r="N124" s="633"/>
      <c r="O124" s="464"/>
      <c r="P124" s="464"/>
      <c r="Q124" s="464"/>
      <c r="R124" s="464"/>
      <c r="S124" s="465"/>
      <c r="T124" s="398"/>
    </row>
    <row r="125" spans="2:20" ht="15.75">
      <c r="B125" s="664" t="str">
        <f>VLOOKUP(T125,Table1[],4,0)</f>
        <v xml:space="preserve">HIV I-9a (M): Procentul BSB care trăiesc cu HIV </v>
      </c>
      <c r="C125" s="664"/>
      <c r="D125" s="664"/>
      <c r="E125" s="674" t="str">
        <f>VLOOKUP(T125,Table1[],2,0)</f>
        <v>Indicator de impact</v>
      </c>
      <c r="F125" s="672" t="str">
        <f>VLOOKUP(T125,Table1[],3,0)</f>
        <v>HIV</v>
      </c>
      <c r="G125" s="453" t="s">
        <v>360</v>
      </c>
      <c r="H125" s="455" t="s">
        <v>505</v>
      </c>
      <c r="I125" s="460" t="s">
        <v>505</v>
      </c>
      <c r="J125" s="455" t="s">
        <v>505</v>
      </c>
      <c r="K125" s="455" t="s">
        <v>505</v>
      </c>
      <c r="L125" s="455" t="s">
        <v>505</v>
      </c>
      <c r="M125" s="466">
        <v>0.09</v>
      </c>
      <c r="N125" s="467"/>
      <c r="O125" s="467"/>
      <c r="P125" s="467"/>
      <c r="Q125" s="467"/>
      <c r="R125" s="467"/>
      <c r="S125" s="456"/>
      <c r="T125" s="398">
        <v>4</v>
      </c>
    </row>
    <row r="126" spans="2:20" ht="15.75">
      <c r="B126" s="664"/>
      <c r="C126" s="664"/>
      <c r="D126" s="664"/>
      <c r="E126" s="675"/>
      <c r="F126" s="673"/>
      <c r="G126" s="453" t="s">
        <v>361</v>
      </c>
      <c r="H126" s="642" t="s">
        <v>505</v>
      </c>
      <c r="I126" s="641" t="s">
        <v>505</v>
      </c>
      <c r="J126" s="642" t="s">
        <v>505</v>
      </c>
      <c r="K126" s="634" t="s">
        <v>505</v>
      </c>
      <c r="L126" s="634" t="s">
        <v>505</v>
      </c>
      <c r="M126" s="634"/>
      <c r="N126" s="634"/>
      <c r="O126" s="467"/>
      <c r="P126" s="467"/>
      <c r="Q126" s="467"/>
      <c r="R126" s="467"/>
      <c r="S126" s="456"/>
      <c r="T126" s="398"/>
    </row>
    <row r="127" spans="2:20" ht="15.75">
      <c r="B127" s="703" t="str">
        <f>VLOOKUP(T127,Table1[],4,0)</f>
        <v>HIV I-10 (M): Procentul LSC care trăiesc cu HIV</v>
      </c>
      <c r="C127" s="703"/>
      <c r="D127" s="703"/>
      <c r="E127" s="660" t="str">
        <f>VLOOKUP(T127,Table1[],2,0)</f>
        <v>Indicator de impact</v>
      </c>
      <c r="F127" s="662" t="str">
        <f>VLOOKUP(T127,Table1[],3,0)</f>
        <v>HIV</v>
      </c>
      <c r="G127" s="468" t="s">
        <v>360</v>
      </c>
      <c r="H127" s="460" t="s">
        <v>505</v>
      </c>
      <c r="I127" s="460" t="s">
        <v>505</v>
      </c>
      <c r="J127" s="460" t="s">
        <v>505</v>
      </c>
      <c r="K127" s="460" t="s">
        <v>505</v>
      </c>
      <c r="L127" s="460" t="s">
        <v>505</v>
      </c>
      <c r="M127" s="466">
        <v>3.9E-2</v>
      </c>
      <c r="N127" s="469"/>
      <c r="O127" s="469"/>
      <c r="P127" s="469"/>
      <c r="Q127" s="469"/>
      <c r="R127" s="469"/>
      <c r="S127" s="470"/>
      <c r="T127" s="398">
        <v>5</v>
      </c>
    </row>
    <row r="128" spans="2:20" ht="15.75">
      <c r="B128" s="703"/>
      <c r="C128" s="703"/>
      <c r="D128" s="703"/>
      <c r="E128" s="661"/>
      <c r="F128" s="663"/>
      <c r="G128" s="468" t="s">
        <v>361</v>
      </c>
      <c r="H128" s="638" t="s">
        <v>505</v>
      </c>
      <c r="I128" s="641" t="s">
        <v>505</v>
      </c>
      <c r="J128" s="638" t="s">
        <v>505</v>
      </c>
      <c r="K128" s="635" t="s">
        <v>505</v>
      </c>
      <c r="L128" s="635" t="s">
        <v>505</v>
      </c>
      <c r="M128" s="635"/>
      <c r="N128" s="635"/>
      <c r="O128" s="469"/>
      <c r="P128" s="469"/>
      <c r="Q128" s="469"/>
      <c r="R128" s="469"/>
      <c r="S128" s="470"/>
      <c r="T128" s="398"/>
    </row>
    <row r="129" spans="2:20" ht="15.75">
      <c r="B129" s="704" t="str">
        <f>VLOOKUP(T129,Table1[],4,0)</f>
        <v>HIV I-11 (M): Procentul consumatorilor de droguri injectabile care trăiesc cu HIV</v>
      </c>
      <c r="C129" s="704"/>
      <c r="D129" s="704"/>
      <c r="E129" s="705" t="str">
        <f>VLOOKUP(T129,Table1[],2,0)</f>
        <v>Indicator de impact</v>
      </c>
      <c r="F129" s="676" t="str">
        <f>VLOOKUP(T129,Table1[],3,0)</f>
        <v>HIV</v>
      </c>
      <c r="G129" s="471" t="s">
        <v>360</v>
      </c>
      <c r="H129" s="472" t="s">
        <v>505</v>
      </c>
      <c r="I129" s="460" t="s">
        <v>505</v>
      </c>
      <c r="J129" s="472" t="s">
        <v>505</v>
      </c>
      <c r="K129" s="472" t="s">
        <v>505</v>
      </c>
      <c r="L129" s="472" t="s">
        <v>505</v>
      </c>
      <c r="M129" s="466">
        <v>0.13900000000000001</v>
      </c>
      <c r="N129" s="467"/>
      <c r="O129" s="467"/>
      <c r="P129" s="467"/>
      <c r="Q129" s="467"/>
      <c r="R129" s="467"/>
      <c r="S129" s="456"/>
      <c r="T129" s="398">
        <v>6</v>
      </c>
    </row>
    <row r="130" spans="2:20" ht="15.75">
      <c r="B130" s="704"/>
      <c r="C130" s="704"/>
      <c r="D130" s="704"/>
      <c r="E130" s="706"/>
      <c r="F130" s="677"/>
      <c r="G130" s="471" t="s">
        <v>361</v>
      </c>
      <c r="H130" s="643" t="s">
        <v>505</v>
      </c>
      <c r="I130" s="641" t="s">
        <v>505</v>
      </c>
      <c r="J130" s="643" t="s">
        <v>505</v>
      </c>
      <c r="K130" s="636" t="s">
        <v>505</v>
      </c>
      <c r="L130" s="634" t="s">
        <v>505</v>
      </c>
      <c r="M130" s="634"/>
      <c r="N130" s="634"/>
      <c r="O130" s="467"/>
      <c r="P130" s="467"/>
      <c r="Q130" s="467"/>
      <c r="R130" s="467"/>
      <c r="S130" s="456"/>
      <c r="T130" s="398"/>
    </row>
    <row r="131" spans="2:20" ht="15.75">
      <c r="B131" s="659" t="str">
        <f>VLOOKUP(T131,Table1[],4,0)</f>
        <v xml:space="preserve">TB O-4(M): Rata succesului tratamentului pacienților cu RR TB și/sau MDR-TB </v>
      </c>
      <c r="C131" s="659"/>
      <c r="D131" s="659"/>
      <c r="E131" s="717" t="str">
        <f>VLOOKUP(T131,Table1[],2,0)</f>
        <v>Indicator de rezultat</v>
      </c>
      <c r="F131" s="716" t="str">
        <f>VLOOKUP(T131,Table1[],3,0)</f>
        <v>TB</v>
      </c>
      <c r="G131" s="468" t="s">
        <v>360</v>
      </c>
      <c r="H131" s="474">
        <v>0.65049999999999997</v>
      </c>
      <c r="I131" s="474">
        <v>0.65049999999999997</v>
      </c>
      <c r="J131" s="474">
        <v>0.6804</v>
      </c>
      <c r="K131" s="474">
        <v>0.6804</v>
      </c>
      <c r="L131" s="474">
        <v>0.72009999999999996</v>
      </c>
      <c r="M131" s="474">
        <v>0.72009999999999996</v>
      </c>
      <c r="N131" s="475"/>
      <c r="O131" s="475"/>
      <c r="P131" s="475"/>
      <c r="Q131" s="475"/>
      <c r="R131" s="475"/>
      <c r="S131" s="470"/>
      <c r="T131" s="398">
        <v>7</v>
      </c>
    </row>
    <row r="132" spans="2:20" ht="15.75">
      <c r="B132" s="659"/>
      <c r="C132" s="659"/>
      <c r="D132" s="659"/>
      <c r="E132" s="661"/>
      <c r="F132" s="663"/>
      <c r="G132" s="468" t="s">
        <v>361</v>
      </c>
      <c r="H132" s="476">
        <v>0.52629999999999999</v>
      </c>
      <c r="I132" s="476">
        <v>0.54400000000000004</v>
      </c>
      <c r="J132" s="476">
        <v>0.52659999999999996</v>
      </c>
      <c r="K132" s="637">
        <v>0.54600000000000004</v>
      </c>
      <c r="L132" s="637">
        <v>0.55330000000000001</v>
      </c>
      <c r="M132" s="477"/>
      <c r="N132" s="477"/>
      <c r="O132" s="477"/>
      <c r="P132" s="477"/>
      <c r="Q132" s="477"/>
      <c r="R132" s="477"/>
      <c r="S132" s="478"/>
      <c r="T132" s="398"/>
    </row>
    <row r="133" spans="2:20" ht="15.75">
      <c r="B133" s="704" t="str">
        <f>VLOOKUP(T133,Table1[],4,0)</f>
        <v>TB O-1a: Rata de notificare a cazurilor de tuberculoză (toate formele) per 100,000 populație</v>
      </c>
      <c r="C133" s="704"/>
      <c r="D133" s="704"/>
      <c r="E133" s="655" t="str">
        <f>VLOOKUP(T133,Table1[],2,0)</f>
        <v>Indicator de rezultat</v>
      </c>
      <c r="F133" s="657" t="str">
        <f>VLOOKUP(T133,Table1[],3,0)</f>
        <v>TB</v>
      </c>
      <c r="G133" s="471" t="s">
        <v>360</v>
      </c>
      <c r="H133" s="467">
        <v>103.5</v>
      </c>
      <c r="I133" s="467">
        <v>96</v>
      </c>
      <c r="J133" s="467">
        <v>96</v>
      </c>
      <c r="K133" s="467">
        <v>94.6</v>
      </c>
      <c r="L133" s="467">
        <v>94.6</v>
      </c>
      <c r="M133" s="467">
        <v>92.8</v>
      </c>
      <c r="N133" s="467"/>
      <c r="O133" s="479"/>
      <c r="P133" s="479"/>
      <c r="Q133" s="479"/>
      <c r="R133" s="479"/>
      <c r="S133" s="480"/>
      <c r="T133" s="398">
        <v>8</v>
      </c>
    </row>
    <row r="134" spans="2:20" ht="15.75">
      <c r="B134" s="704"/>
      <c r="C134" s="704"/>
      <c r="D134" s="704"/>
      <c r="E134" s="656"/>
      <c r="F134" s="658"/>
      <c r="G134" s="471" t="s">
        <v>361</v>
      </c>
      <c r="H134" s="481">
        <v>83.17</v>
      </c>
      <c r="I134" s="481">
        <v>74.959999999999994</v>
      </c>
      <c r="J134" s="481">
        <v>75.150000000000006</v>
      </c>
      <c r="K134" s="492">
        <v>71.400000000000006</v>
      </c>
      <c r="L134" s="492">
        <v>92.7</v>
      </c>
      <c r="M134" s="482"/>
      <c r="N134" s="482"/>
      <c r="O134" s="482"/>
      <c r="P134" s="482"/>
      <c r="Q134" s="482"/>
      <c r="R134" s="482"/>
      <c r="S134" s="483"/>
      <c r="T134" s="398"/>
    </row>
    <row r="135" spans="2:20" ht="15.75">
      <c r="B135" s="659" t="str">
        <f>VLOOKUP(T135,Table1[],4,0)</f>
        <v>TB O-5(M): Rata de acoperire cu tratament antituberculos</v>
      </c>
      <c r="C135" s="659"/>
      <c r="D135" s="659"/>
      <c r="E135" s="660" t="str">
        <f>VLOOKUP(T135,Table1[],2,0)</f>
        <v>Indicator de rezultat</v>
      </c>
      <c r="F135" s="662" t="str">
        <f>VLOOKUP(T135,Table1[],3,0)</f>
        <v>TB</v>
      </c>
      <c r="G135" s="468" t="s">
        <v>360</v>
      </c>
      <c r="H135" s="460" t="s">
        <v>505</v>
      </c>
      <c r="I135" s="460" t="s">
        <v>505</v>
      </c>
      <c r="J135" s="474">
        <v>0.87</v>
      </c>
      <c r="K135" s="474" t="s">
        <v>505</v>
      </c>
      <c r="L135" s="474">
        <v>0.89</v>
      </c>
      <c r="M135" s="474" t="s">
        <v>505</v>
      </c>
      <c r="N135" s="474">
        <v>0.9</v>
      </c>
      <c r="O135" s="484"/>
      <c r="P135" s="484"/>
      <c r="Q135" s="484"/>
      <c r="R135" s="484"/>
      <c r="S135" s="485"/>
      <c r="T135" s="398">
        <v>9</v>
      </c>
    </row>
    <row r="136" spans="2:20" ht="15.75">
      <c r="B136" s="659"/>
      <c r="C136" s="659"/>
      <c r="D136" s="659"/>
      <c r="E136" s="661"/>
      <c r="F136" s="663"/>
      <c r="G136" s="468" t="s">
        <v>361</v>
      </c>
      <c r="H136" s="460" t="s">
        <v>505</v>
      </c>
      <c r="I136" s="460" t="s">
        <v>505</v>
      </c>
      <c r="J136" s="476">
        <v>0.86250000000000004</v>
      </c>
      <c r="K136" s="476" t="s">
        <v>505</v>
      </c>
      <c r="L136" s="476">
        <v>0.79300000000000004</v>
      </c>
      <c r="M136" s="484"/>
      <c r="N136" s="484"/>
      <c r="O136" s="484"/>
      <c r="P136" s="484"/>
      <c r="Q136" s="484"/>
      <c r="R136" s="484"/>
      <c r="S136" s="485"/>
      <c r="T136" s="398"/>
    </row>
    <row r="137" spans="2:20" ht="15.75">
      <c r="B137" s="704" t="str">
        <f>VLOOKUP(T137,Table1[],4,0)</f>
        <v xml:space="preserve">HIV O-1 (M): Procentul adulţilor şi copiilor HIV infectaţi care se află în tratament 12 luni după iniţierea tratamentului antiretroviral </v>
      </c>
      <c r="C137" s="704"/>
      <c r="D137" s="704"/>
      <c r="E137" s="655" t="str">
        <f>VLOOKUP(T137,Table1[],2,0)</f>
        <v>Indicator de rezultat</v>
      </c>
      <c r="F137" s="657" t="str">
        <f>VLOOKUP(T137,Table1[],3,0)</f>
        <v>HIV</v>
      </c>
      <c r="G137" s="471" t="s">
        <v>360</v>
      </c>
      <c r="H137" s="466">
        <v>0.85</v>
      </c>
      <c r="I137" s="460" t="s">
        <v>505</v>
      </c>
      <c r="J137" s="466">
        <v>0.84</v>
      </c>
      <c r="K137" s="461" t="s">
        <v>505</v>
      </c>
      <c r="L137" s="466">
        <v>0.85</v>
      </c>
      <c r="M137" s="461" t="s">
        <v>505</v>
      </c>
      <c r="N137" s="466">
        <v>0.86</v>
      </c>
      <c r="O137" s="479"/>
      <c r="P137" s="479"/>
      <c r="Q137" s="479"/>
      <c r="R137" s="479"/>
      <c r="S137" s="480"/>
      <c r="T137" s="398">
        <v>10</v>
      </c>
    </row>
    <row r="138" spans="2:20" ht="15.75">
      <c r="B138" s="704"/>
      <c r="C138" s="704"/>
      <c r="D138" s="704"/>
      <c r="E138" s="656"/>
      <c r="F138" s="658"/>
      <c r="G138" s="471" t="s">
        <v>361</v>
      </c>
      <c r="H138" s="486">
        <v>0.83299999999999996</v>
      </c>
      <c r="I138" s="463" t="s">
        <v>505</v>
      </c>
      <c r="J138" s="486">
        <v>0.86799999999999999</v>
      </c>
      <c r="K138" s="492" t="s">
        <v>505</v>
      </c>
      <c r="L138" s="486">
        <v>0.85199999999999998</v>
      </c>
      <c r="M138" s="482"/>
      <c r="N138" s="482"/>
      <c r="O138" s="482"/>
      <c r="P138" s="482"/>
      <c r="Q138" s="482"/>
      <c r="R138" s="482"/>
      <c r="S138" s="483"/>
      <c r="T138" s="398"/>
    </row>
    <row r="139" spans="2:20" ht="15.75">
      <c r="B139" s="659" t="str">
        <f>VLOOKUP(T139,Table1[],4,0)</f>
        <v>HIV O-4a (M): Procentul BSB care raportează utilizarea prezervativului în timpul ultimului act de sex anal cu partenerul de gen masculin</v>
      </c>
      <c r="C139" s="659"/>
      <c r="D139" s="659"/>
      <c r="E139" s="660" t="str">
        <f>VLOOKUP(T139,Table1[],2,0)</f>
        <v>Indicator de rezultat</v>
      </c>
      <c r="F139" s="662" t="str">
        <f>VLOOKUP(T139,Table1[],3,0)</f>
        <v>HIV</v>
      </c>
      <c r="G139" s="468" t="s">
        <v>360</v>
      </c>
      <c r="H139" s="460" t="s">
        <v>505</v>
      </c>
      <c r="I139" s="460" t="s">
        <v>505</v>
      </c>
      <c r="J139" s="460" t="s">
        <v>505</v>
      </c>
      <c r="K139" s="460" t="s">
        <v>505</v>
      </c>
      <c r="L139" s="460" t="s">
        <v>505</v>
      </c>
      <c r="M139" s="466">
        <v>0.7</v>
      </c>
      <c r="N139" s="484"/>
      <c r="O139" s="484"/>
      <c r="P139" s="484"/>
      <c r="Q139" s="484"/>
      <c r="R139" s="484"/>
      <c r="S139" s="485"/>
      <c r="T139" s="398">
        <v>11</v>
      </c>
    </row>
    <row r="140" spans="2:20" ht="15.75">
      <c r="B140" s="659"/>
      <c r="C140" s="659"/>
      <c r="D140" s="659"/>
      <c r="E140" s="661"/>
      <c r="F140" s="663"/>
      <c r="G140" s="468" t="s">
        <v>361</v>
      </c>
      <c r="H140" s="641" t="s">
        <v>505</v>
      </c>
      <c r="I140" s="641" t="s">
        <v>505</v>
      </c>
      <c r="J140" s="641" t="s">
        <v>505</v>
      </c>
      <c r="K140" s="638" t="s">
        <v>505</v>
      </c>
      <c r="L140" s="638" t="s">
        <v>505</v>
      </c>
      <c r="M140" s="644"/>
      <c r="N140" s="644"/>
      <c r="O140" s="484"/>
      <c r="P140" s="484"/>
      <c r="Q140" s="484"/>
      <c r="R140" s="484"/>
      <c r="S140" s="485"/>
      <c r="T140" s="398"/>
    </row>
    <row r="141" spans="2:20" ht="15.75">
      <c r="B141" s="704" t="str">
        <f>VLOOKUP(T141,Table1[],4,0)</f>
        <v>HIV O-5 (M): Procentul LSC care raportează utilizarea prezervativului cu ultimul lor client</v>
      </c>
      <c r="C141" s="704"/>
      <c r="D141" s="704"/>
      <c r="E141" s="655" t="str">
        <f>VLOOKUP(T141,Table1[],2,0)</f>
        <v>Indicator de rezultat</v>
      </c>
      <c r="F141" s="657" t="str">
        <f>VLOOKUP(T141,Table1[],3,0)</f>
        <v>HIV</v>
      </c>
      <c r="G141" s="471" t="s">
        <v>360</v>
      </c>
      <c r="H141" s="460" t="s">
        <v>505</v>
      </c>
      <c r="I141" s="460" t="s">
        <v>505</v>
      </c>
      <c r="J141" s="460" t="s">
        <v>505</v>
      </c>
      <c r="K141" s="460" t="s">
        <v>505</v>
      </c>
      <c r="L141" s="460" t="s">
        <v>505</v>
      </c>
      <c r="M141" s="466">
        <v>0.9</v>
      </c>
      <c r="N141" s="479"/>
      <c r="O141" s="479"/>
      <c r="P141" s="479"/>
      <c r="Q141" s="479"/>
      <c r="R141" s="479"/>
      <c r="S141" s="480"/>
      <c r="T141" s="398">
        <v>12</v>
      </c>
    </row>
    <row r="142" spans="2:20" ht="15.75">
      <c r="B142" s="704"/>
      <c r="C142" s="704"/>
      <c r="D142" s="704"/>
      <c r="E142" s="656"/>
      <c r="F142" s="658"/>
      <c r="G142" s="471" t="s">
        <v>361</v>
      </c>
      <c r="H142" s="641" t="s">
        <v>505</v>
      </c>
      <c r="I142" s="641" t="s">
        <v>505</v>
      </c>
      <c r="J142" s="641" t="s">
        <v>505</v>
      </c>
      <c r="K142" s="634" t="s">
        <v>505</v>
      </c>
      <c r="L142" s="634" t="s">
        <v>505</v>
      </c>
      <c r="M142" s="645"/>
      <c r="N142" s="645"/>
      <c r="O142" s="479"/>
      <c r="P142" s="479"/>
      <c r="Q142" s="479"/>
      <c r="R142" s="479"/>
      <c r="S142" s="480"/>
      <c r="T142" s="398"/>
    </row>
    <row r="143" spans="2:20" ht="15.75">
      <c r="B143" s="659" t="str">
        <f>VLOOKUP(T143,Table1[],4,0)</f>
        <v>HIV O-6 (M): Procentul consumatorilor de droguri injectabile care raportează utilizarea setului pentru injectare steril la ultima injectare</v>
      </c>
      <c r="C143" s="659"/>
      <c r="D143" s="659"/>
      <c r="E143" s="660" t="str">
        <f>VLOOKUP(T143,Table1[],2,0)</f>
        <v>Indicator de rezultat</v>
      </c>
      <c r="F143" s="662" t="str">
        <f>VLOOKUP(T143,Table1[],3,0)</f>
        <v>HIV</v>
      </c>
      <c r="G143" s="468" t="s">
        <v>360</v>
      </c>
      <c r="H143" s="460" t="s">
        <v>505</v>
      </c>
      <c r="I143" s="460" t="s">
        <v>505</v>
      </c>
      <c r="J143" s="460" t="s">
        <v>505</v>
      </c>
      <c r="K143" s="460" t="s">
        <v>505</v>
      </c>
      <c r="L143" s="460" t="s">
        <v>505</v>
      </c>
      <c r="M143" s="466">
        <v>0.99</v>
      </c>
      <c r="N143" s="484"/>
      <c r="O143" s="484"/>
      <c r="P143" s="484"/>
      <c r="Q143" s="484"/>
      <c r="R143" s="484"/>
      <c r="S143" s="485"/>
      <c r="T143" s="398">
        <v>13</v>
      </c>
    </row>
    <row r="144" spans="2:20" ht="15.75">
      <c r="B144" s="659"/>
      <c r="C144" s="659"/>
      <c r="D144" s="659"/>
      <c r="E144" s="661"/>
      <c r="F144" s="663"/>
      <c r="G144" s="468" t="s">
        <v>361</v>
      </c>
      <c r="H144" s="641" t="s">
        <v>505</v>
      </c>
      <c r="I144" s="641" t="s">
        <v>505</v>
      </c>
      <c r="J144" s="641" t="s">
        <v>505</v>
      </c>
      <c r="K144" s="638" t="s">
        <v>505</v>
      </c>
      <c r="L144" s="638" t="s">
        <v>505</v>
      </c>
      <c r="M144" s="644"/>
      <c r="N144" s="644"/>
      <c r="O144" s="484"/>
      <c r="P144" s="484"/>
      <c r="Q144" s="484"/>
      <c r="R144" s="484"/>
      <c r="S144" s="485"/>
      <c r="T144" s="398"/>
    </row>
    <row r="145" spans="2:20" ht="15.75">
      <c r="B145" s="704" t="str">
        <f>VLOOKUP(T145,Table1[],4,0)</f>
        <v>MDR TB-2(M): Numărul cazurilor de TB DR (RR-TB și/sau MDR-TB), confirmate bacteriologic, notificate</v>
      </c>
      <c r="C145" s="704"/>
      <c r="D145" s="704"/>
      <c r="E145" s="655" t="str">
        <f>VLOOKUP(T145,Table1[],2,0)</f>
        <v>Indicator de proces</v>
      </c>
      <c r="F145" s="657" t="str">
        <f>VLOOKUP(T145,Table1[],3,0)</f>
        <v>TB</v>
      </c>
      <c r="G145" s="471" t="s">
        <v>360</v>
      </c>
      <c r="H145" s="473">
        <v>535</v>
      </c>
      <c r="I145" s="473">
        <v>1069</v>
      </c>
      <c r="J145" s="473">
        <v>512</v>
      </c>
      <c r="K145" s="473">
        <v>1023</v>
      </c>
      <c r="L145" s="473">
        <v>504</v>
      </c>
      <c r="M145" s="473">
        <v>1007</v>
      </c>
      <c r="N145" s="479"/>
      <c r="O145" s="479"/>
      <c r="P145" s="479"/>
      <c r="Q145" s="479"/>
      <c r="R145" s="479"/>
      <c r="S145" s="480"/>
      <c r="T145" s="398">
        <v>14</v>
      </c>
    </row>
    <row r="146" spans="2:20" ht="15.75">
      <c r="B146" s="704"/>
      <c r="C146" s="704"/>
      <c r="D146" s="704"/>
      <c r="E146" s="656"/>
      <c r="F146" s="658"/>
      <c r="G146" s="471" t="s">
        <v>361</v>
      </c>
      <c r="H146" s="487">
        <v>376</v>
      </c>
      <c r="I146" s="487">
        <v>811</v>
      </c>
      <c r="J146" s="487">
        <v>348</v>
      </c>
      <c r="K146" s="487">
        <v>631</v>
      </c>
      <c r="L146" s="487">
        <v>220</v>
      </c>
      <c r="M146" s="482"/>
      <c r="N146" s="482"/>
      <c r="O146" s="482"/>
      <c r="P146" s="482"/>
      <c r="Q146" s="482"/>
      <c r="R146" s="482"/>
      <c r="S146" s="483"/>
      <c r="T146" s="398"/>
    </row>
    <row r="147" spans="2:20" ht="15.75">
      <c r="B147" s="659" t="str">
        <f>VLOOKUP(T147,Table1[],4,0)</f>
        <v xml:space="preserve">MDR TB-3(M): Numărul cazurilor cu tuberculoză drog-rezistentă (RR-TB și/sau MDR-TB), confirmate bacteriologic, care au demarat tratamentul DOTS-Plus în perioada raportată                </v>
      </c>
      <c r="C147" s="659"/>
      <c r="D147" s="659"/>
      <c r="E147" s="660" t="str">
        <f>VLOOKUP(T147,Table1[],2,0)</f>
        <v>Indicator de proces</v>
      </c>
      <c r="F147" s="662" t="str">
        <f>VLOOKUP(T147,Table1[],3,0)</f>
        <v>TB</v>
      </c>
      <c r="G147" s="468" t="s">
        <v>360</v>
      </c>
      <c r="H147" s="469">
        <v>531</v>
      </c>
      <c r="I147" s="469">
        <v>1061</v>
      </c>
      <c r="J147" s="469">
        <v>507</v>
      </c>
      <c r="K147" s="469">
        <v>1013</v>
      </c>
      <c r="L147" s="469">
        <v>491</v>
      </c>
      <c r="M147" s="469">
        <v>982</v>
      </c>
      <c r="N147" s="484"/>
      <c r="O147" s="484"/>
      <c r="P147" s="484"/>
      <c r="Q147" s="484"/>
      <c r="R147" s="484"/>
      <c r="S147" s="485"/>
      <c r="T147" s="398">
        <v>15</v>
      </c>
    </row>
    <row r="148" spans="2:20" ht="15.75">
      <c r="B148" s="659"/>
      <c r="C148" s="659"/>
      <c r="D148" s="659"/>
      <c r="E148" s="661"/>
      <c r="F148" s="663"/>
      <c r="G148" s="468" t="s">
        <v>361</v>
      </c>
      <c r="H148" s="488">
        <v>485</v>
      </c>
      <c r="I148" s="488">
        <v>937</v>
      </c>
      <c r="J148" s="488">
        <v>443</v>
      </c>
      <c r="K148" s="488">
        <v>883</v>
      </c>
      <c r="L148" s="488">
        <v>307</v>
      </c>
      <c r="M148" s="489"/>
      <c r="N148" s="489"/>
      <c r="O148" s="489"/>
      <c r="P148" s="489"/>
      <c r="Q148" s="489"/>
      <c r="R148" s="489"/>
      <c r="S148" s="490"/>
      <c r="T148" s="398"/>
    </row>
    <row r="149" spans="2:20" ht="15.75">
      <c r="B149" s="704" t="str">
        <f>VLOOKUP(T149,Table1[],4,0)</f>
        <v>MDR TB-4: Rezultatul interimar de abandon al tratamentului cazurilor MDR-TB</v>
      </c>
      <c r="C149" s="704"/>
      <c r="D149" s="704"/>
      <c r="E149" s="655" t="str">
        <f>VLOOKUP(T149,Table1[],2,0)</f>
        <v>Indicator de proces</v>
      </c>
      <c r="F149" s="657" t="str">
        <f>VLOOKUP(T149,Table1[],3,0)</f>
        <v>TB</v>
      </c>
      <c r="G149" s="471" t="s">
        <v>360</v>
      </c>
      <c r="H149" s="466">
        <v>8.6999999999999994E-2</v>
      </c>
      <c r="I149" s="466">
        <v>8.6999999999999994E-2</v>
      </c>
      <c r="J149" s="466">
        <v>7.5999999999999998E-2</v>
      </c>
      <c r="K149" s="466">
        <v>7.5999999999999998E-2</v>
      </c>
      <c r="L149" s="466">
        <v>6.6000000000000003E-2</v>
      </c>
      <c r="M149" s="466">
        <v>6.6000000000000003E-2</v>
      </c>
      <c r="N149" s="479"/>
      <c r="O149" s="479"/>
      <c r="P149" s="479"/>
      <c r="Q149" s="479"/>
      <c r="R149" s="479"/>
      <c r="S149" s="480"/>
      <c r="T149" s="398">
        <v>16</v>
      </c>
    </row>
    <row r="150" spans="2:20" ht="15.75">
      <c r="B150" s="704"/>
      <c r="C150" s="704"/>
      <c r="D150" s="704"/>
      <c r="E150" s="656"/>
      <c r="F150" s="658"/>
      <c r="G150" s="471" t="s">
        <v>361</v>
      </c>
      <c r="H150" s="491">
        <v>9.2700000000000005E-2</v>
      </c>
      <c r="I150" s="491">
        <v>9.5500000000000002E-2</v>
      </c>
      <c r="J150" s="491">
        <v>8.8300000000000003E-2</v>
      </c>
      <c r="K150" s="491">
        <v>8.7900000000000006E-2</v>
      </c>
      <c r="L150" s="491">
        <v>0.1205</v>
      </c>
      <c r="M150" s="482"/>
      <c r="N150" s="482"/>
      <c r="O150" s="482"/>
      <c r="P150" s="482"/>
      <c r="Q150" s="482"/>
      <c r="R150" s="482"/>
      <c r="S150" s="483"/>
      <c r="T150" s="398"/>
    </row>
    <row r="151" spans="2:20" ht="15.75">
      <c r="B151" s="659" t="str">
        <f>VLOOKUP(T151,Table1[],4,0)</f>
        <v>MDR TB-8: Numărul cazurilor de XDR TB incluși în tratament în perioada raportată</v>
      </c>
      <c r="C151" s="659"/>
      <c r="D151" s="659"/>
      <c r="E151" s="660" t="str">
        <f>VLOOKUP(T151,Table1[],2,0)</f>
        <v>Indicator de proces</v>
      </c>
      <c r="F151" s="662" t="str">
        <f>VLOOKUP(T151,Table1[],3,0)</f>
        <v>TB</v>
      </c>
      <c r="G151" s="468" t="s">
        <v>360</v>
      </c>
      <c r="H151" s="460" t="s">
        <v>505</v>
      </c>
      <c r="I151" s="473">
        <v>86</v>
      </c>
      <c r="J151" s="460" t="s">
        <v>505</v>
      </c>
      <c r="K151" s="473">
        <v>81</v>
      </c>
      <c r="L151" s="460" t="s">
        <v>505</v>
      </c>
      <c r="M151" s="473">
        <v>75</v>
      </c>
      <c r="N151" s="484"/>
      <c r="O151" s="484"/>
      <c r="P151" s="484"/>
      <c r="Q151" s="484"/>
      <c r="R151" s="484"/>
      <c r="S151" s="485"/>
      <c r="T151" s="398">
        <v>17</v>
      </c>
    </row>
    <row r="152" spans="2:20" ht="15.75">
      <c r="B152" s="659"/>
      <c r="C152" s="659"/>
      <c r="D152" s="659"/>
      <c r="E152" s="661"/>
      <c r="F152" s="663"/>
      <c r="G152" s="468" t="s">
        <v>361</v>
      </c>
      <c r="H152" s="463" t="s">
        <v>505</v>
      </c>
      <c r="I152" s="487">
        <v>71</v>
      </c>
      <c r="J152" s="463" t="s">
        <v>505</v>
      </c>
      <c r="K152" s="636">
        <v>50</v>
      </c>
      <c r="L152" s="463" t="s">
        <v>505</v>
      </c>
      <c r="M152" s="484"/>
      <c r="N152" s="484"/>
      <c r="O152" s="484"/>
      <c r="P152" s="484"/>
      <c r="Q152" s="484"/>
      <c r="R152" s="484"/>
      <c r="S152" s="485"/>
      <c r="T152" s="398"/>
    </row>
    <row r="153" spans="2:20" ht="15.75">
      <c r="B153" s="704" t="str">
        <f>VLOOKUP(T153,Table1[],4,0)</f>
        <v xml:space="preserve">KP-1d(M): Procentul consumatorilor de droguri injectabile acoperiți de programele de prevenire HIV - pachet definit de servicii </v>
      </c>
      <c r="C153" s="704"/>
      <c r="D153" s="704"/>
      <c r="E153" s="655" t="str">
        <f>VLOOKUP(T153,Table1[],2,0)</f>
        <v>Indicator de proces</v>
      </c>
      <c r="F153" s="657" t="str">
        <f>VLOOKUP(T153,Table1[],3,0)</f>
        <v>HIV</v>
      </c>
      <c r="G153" s="471" t="s">
        <v>360</v>
      </c>
      <c r="H153" s="467" t="s">
        <v>505</v>
      </c>
      <c r="I153" s="466">
        <v>0.53100000000000003</v>
      </c>
      <c r="J153" s="467" t="s">
        <v>505</v>
      </c>
      <c r="K153" s="639">
        <v>0.56999999999999995</v>
      </c>
      <c r="L153" s="467" t="s">
        <v>505</v>
      </c>
      <c r="M153" s="466">
        <v>0.6</v>
      </c>
      <c r="N153" s="479"/>
      <c r="O153" s="479"/>
      <c r="P153" s="479"/>
      <c r="Q153" s="479"/>
      <c r="R153" s="479"/>
      <c r="S153" s="480"/>
      <c r="T153" s="398">
        <v>18</v>
      </c>
    </row>
    <row r="154" spans="2:20" ht="15.75">
      <c r="B154" s="704"/>
      <c r="C154" s="704"/>
      <c r="D154" s="704"/>
      <c r="E154" s="656"/>
      <c r="F154" s="658"/>
      <c r="G154" s="471" t="s">
        <v>361</v>
      </c>
      <c r="H154" s="492" t="s">
        <v>505</v>
      </c>
      <c r="I154" s="457">
        <v>0.56399999999999995</v>
      </c>
      <c r="J154" s="634" t="s">
        <v>505</v>
      </c>
      <c r="K154" s="640">
        <v>0.4234</v>
      </c>
      <c r="L154" s="634" t="s">
        <v>505</v>
      </c>
      <c r="M154" s="645"/>
      <c r="N154" s="482"/>
      <c r="O154" s="482"/>
      <c r="P154" s="482"/>
      <c r="Q154" s="482"/>
      <c r="R154" s="482"/>
      <c r="S154" s="483"/>
      <c r="T154" s="398"/>
    </row>
    <row r="155" spans="2:20" ht="15.75">
      <c r="B155" s="659" t="str">
        <f>VLOOKUP(T155,Table1[],4,0)</f>
        <v>KP-3d(M): Procentul consumatorilor de droguri injectabile care au fost testați pentru HIV în perioada de raportare și își cunosc rezultatele</v>
      </c>
      <c r="C155" s="659"/>
      <c r="D155" s="659"/>
      <c r="E155" s="660" t="str">
        <f>VLOOKUP(T155,Table1[],2,0)</f>
        <v>Indicator de proces</v>
      </c>
      <c r="F155" s="662" t="str">
        <f>VLOOKUP(T155,Table1[],3,0)</f>
        <v>HIV</v>
      </c>
      <c r="G155" s="468" t="s">
        <v>360</v>
      </c>
      <c r="H155" s="460" t="s">
        <v>505</v>
      </c>
      <c r="I155" s="466">
        <v>0.254</v>
      </c>
      <c r="J155" s="467" t="s">
        <v>505</v>
      </c>
      <c r="K155" s="639">
        <v>0.31900000000000001</v>
      </c>
      <c r="L155" s="467" t="s">
        <v>505</v>
      </c>
      <c r="M155" s="466">
        <v>0.38400000000000001</v>
      </c>
      <c r="N155" s="484"/>
      <c r="O155" s="484"/>
      <c r="P155" s="484"/>
      <c r="Q155" s="484"/>
      <c r="R155" s="484"/>
      <c r="S155" s="485"/>
      <c r="T155" s="398">
        <v>19</v>
      </c>
    </row>
    <row r="156" spans="2:20" ht="15.75">
      <c r="B156" s="659"/>
      <c r="C156" s="659"/>
      <c r="D156" s="659"/>
      <c r="E156" s="661"/>
      <c r="F156" s="663"/>
      <c r="G156" s="468" t="s">
        <v>361</v>
      </c>
      <c r="H156" s="493" t="s">
        <v>505</v>
      </c>
      <c r="I156" s="457">
        <v>0.27600000000000002</v>
      </c>
      <c r="J156" s="634" t="s">
        <v>505</v>
      </c>
      <c r="K156" s="640">
        <v>0.21460000000000001</v>
      </c>
      <c r="L156" s="634" t="s">
        <v>505</v>
      </c>
      <c r="M156" s="489"/>
      <c r="N156" s="489"/>
      <c r="O156" s="489"/>
      <c r="P156" s="489"/>
      <c r="Q156" s="489"/>
      <c r="R156" s="489"/>
      <c r="S156" s="490"/>
      <c r="T156" s="398"/>
    </row>
    <row r="157" spans="2:20" ht="15.75">
      <c r="B157" s="704" t="str">
        <f>VLOOKUP(T157,Table1[],4,0)</f>
        <v xml:space="preserve">KP-1c(M): Procentul LSC acoperiți de programele de prevenire HIV - pachet definit de servicii </v>
      </c>
      <c r="C157" s="704"/>
      <c r="D157" s="704"/>
      <c r="E157" s="655" t="str">
        <f>VLOOKUP(T157,Table1[],2,0)</f>
        <v>Indicator de proces</v>
      </c>
      <c r="F157" s="657" t="str">
        <f>VLOOKUP(T157,Table1[],3,0)</f>
        <v>HIV</v>
      </c>
      <c r="G157" s="471" t="s">
        <v>360</v>
      </c>
      <c r="H157" s="467" t="s">
        <v>505</v>
      </c>
      <c r="I157" s="466">
        <v>0.48</v>
      </c>
      <c r="J157" s="467" t="s">
        <v>505</v>
      </c>
      <c r="K157" s="639">
        <v>0.54</v>
      </c>
      <c r="L157" s="467" t="s">
        <v>505</v>
      </c>
      <c r="M157" s="466">
        <v>0.6</v>
      </c>
      <c r="N157" s="479"/>
      <c r="O157" s="479"/>
      <c r="P157" s="479"/>
      <c r="Q157" s="479"/>
      <c r="R157" s="479"/>
      <c r="S157" s="480"/>
      <c r="T157" s="398">
        <v>20</v>
      </c>
    </row>
    <row r="158" spans="2:20" ht="15.75">
      <c r="B158" s="704"/>
      <c r="C158" s="704"/>
      <c r="D158" s="704"/>
      <c r="E158" s="656"/>
      <c r="F158" s="658"/>
      <c r="G158" s="471" t="s">
        <v>361</v>
      </c>
      <c r="H158" s="492" t="s">
        <v>505</v>
      </c>
      <c r="I158" s="457">
        <v>0.39300000000000002</v>
      </c>
      <c r="J158" s="634" t="s">
        <v>505</v>
      </c>
      <c r="K158" s="640">
        <v>0.34420000000000001</v>
      </c>
      <c r="L158" s="634" t="s">
        <v>505</v>
      </c>
      <c r="M158" s="482"/>
      <c r="N158" s="482"/>
      <c r="O158" s="482"/>
      <c r="P158" s="482"/>
      <c r="Q158" s="482"/>
      <c r="R158" s="482"/>
      <c r="S158" s="483"/>
      <c r="T158" s="398"/>
    </row>
    <row r="159" spans="2:20" ht="15.75">
      <c r="B159" s="659" t="str">
        <f>VLOOKUP(T159,Table1[],4,0)</f>
        <v>KP-3c(M): Procentul LSC care au fost testați pentru HIV în perioada de raportare și își cunosc rezultatele</v>
      </c>
      <c r="C159" s="659"/>
      <c r="D159" s="659"/>
      <c r="E159" s="660" t="str">
        <f>VLOOKUP(T159,Table1[],2,0)</f>
        <v>Indicator de proces</v>
      </c>
      <c r="F159" s="662" t="str">
        <f>VLOOKUP(T159,Table1[],3,0)</f>
        <v>HIV</v>
      </c>
      <c r="G159" s="468" t="s">
        <v>360</v>
      </c>
      <c r="H159" s="460" t="s">
        <v>505</v>
      </c>
      <c r="I159" s="466">
        <v>0.23100000000000001</v>
      </c>
      <c r="J159" s="467" t="s">
        <v>505</v>
      </c>
      <c r="K159" s="639">
        <v>0.30299999999999999</v>
      </c>
      <c r="L159" s="467" t="s">
        <v>505</v>
      </c>
      <c r="M159" s="466">
        <v>0.38400000000000001</v>
      </c>
      <c r="N159" s="484"/>
      <c r="O159" s="484"/>
      <c r="P159" s="484"/>
      <c r="Q159" s="484"/>
      <c r="R159" s="484"/>
      <c r="S159" s="485"/>
      <c r="T159" s="398">
        <v>21</v>
      </c>
    </row>
    <row r="160" spans="2:20" ht="15.75">
      <c r="B160" s="659"/>
      <c r="C160" s="659"/>
      <c r="D160" s="659"/>
      <c r="E160" s="661"/>
      <c r="F160" s="663"/>
      <c r="G160" s="468" t="s">
        <v>361</v>
      </c>
      <c r="H160" s="493" t="s">
        <v>505</v>
      </c>
      <c r="I160" s="457">
        <v>0.255</v>
      </c>
      <c r="J160" s="634" t="s">
        <v>505</v>
      </c>
      <c r="K160" s="640">
        <v>0.23380000000000001</v>
      </c>
      <c r="L160" s="634" t="s">
        <v>505</v>
      </c>
      <c r="M160" s="644"/>
      <c r="N160" s="489"/>
      <c r="O160" s="489"/>
      <c r="P160" s="489"/>
      <c r="Q160" s="489"/>
      <c r="R160" s="489"/>
      <c r="S160" s="490"/>
      <c r="T160" s="398"/>
    </row>
    <row r="161" spans="2:21" ht="15.75">
      <c r="B161" s="704" t="str">
        <f>VLOOKUP(T161,Table1[],4,0)</f>
        <v xml:space="preserve">KP-1a(M): Procentul BSB acoperiți de programele de prevenire HIV - pachet definit de servicii </v>
      </c>
      <c r="C161" s="704"/>
      <c r="D161" s="704"/>
      <c r="E161" s="655" t="str">
        <f>VLOOKUP(T161,Table1[],2,0)</f>
        <v>Indicator de proces</v>
      </c>
      <c r="F161" s="657" t="str">
        <f>VLOOKUP(T161,Table1[],3,0)</f>
        <v>HIV</v>
      </c>
      <c r="G161" s="471" t="s">
        <v>360</v>
      </c>
      <c r="H161" s="467" t="s">
        <v>505</v>
      </c>
      <c r="I161" s="466">
        <v>0.32</v>
      </c>
      <c r="J161" s="467" t="s">
        <v>505</v>
      </c>
      <c r="K161" s="639">
        <v>0.36</v>
      </c>
      <c r="L161" s="467" t="s">
        <v>505</v>
      </c>
      <c r="M161" s="466">
        <v>0.4</v>
      </c>
      <c r="N161" s="479"/>
      <c r="O161" s="479"/>
      <c r="P161" s="479"/>
      <c r="Q161" s="479"/>
      <c r="R161" s="479"/>
      <c r="S161" s="480"/>
      <c r="T161" s="398">
        <v>22</v>
      </c>
    </row>
    <row r="162" spans="2:21" ht="15.75">
      <c r="B162" s="704"/>
      <c r="C162" s="704"/>
      <c r="D162" s="704"/>
      <c r="E162" s="656"/>
      <c r="F162" s="658"/>
      <c r="G162" s="471" t="s">
        <v>361</v>
      </c>
      <c r="H162" s="492" t="s">
        <v>505</v>
      </c>
      <c r="I162" s="457">
        <v>0.27100000000000002</v>
      </c>
      <c r="J162" s="634" t="s">
        <v>505</v>
      </c>
      <c r="K162" s="640">
        <v>0.25590000000000002</v>
      </c>
      <c r="L162" s="634" t="s">
        <v>505</v>
      </c>
      <c r="M162" s="482"/>
      <c r="N162" s="482"/>
      <c r="O162" s="482"/>
      <c r="P162" s="482"/>
      <c r="Q162" s="482"/>
      <c r="R162" s="482"/>
      <c r="S162" s="483"/>
      <c r="T162" s="398"/>
    </row>
    <row r="163" spans="2:21" ht="15.75">
      <c r="B163" s="659" t="str">
        <f>VLOOKUP(T163,Table1[],4,0)</f>
        <v>KP-3a(M): Procentul BSB care au fost testați pentru HIV în perioada de raportare și își cunosc rezultatele</v>
      </c>
      <c r="C163" s="659"/>
      <c r="D163" s="659"/>
      <c r="E163" s="660" t="str">
        <f>VLOOKUP(T163,Table1[],2,0)</f>
        <v>Indicator de proces</v>
      </c>
      <c r="F163" s="662" t="str">
        <f>VLOOKUP(T163,Table1[],3,0)</f>
        <v>HIV</v>
      </c>
      <c r="G163" s="468" t="s">
        <v>360</v>
      </c>
      <c r="H163" s="460" t="s">
        <v>505</v>
      </c>
      <c r="I163" s="466">
        <v>0.17100000000000001</v>
      </c>
      <c r="J163" s="467" t="s">
        <v>505</v>
      </c>
      <c r="K163" s="639">
        <v>0.22600000000000001</v>
      </c>
      <c r="L163" s="467" t="s">
        <v>505</v>
      </c>
      <c r="M163" s="466">
        <v>0.28799999999999998</v>
      </c>
      <c r="N163" s="484"/>
      <c r="O163" s="484"/>
      <c r="P163" s="484"/>
      <c r="Q163" s="484"/>
      <c r="R163" s="484"/>
      <c r="S163" s="485"/>
      <c r="T163" s="398">
        <v>23</v>
      </c>
    </row>
    <row r="164" spans="2:21" ht="15.75">
      <c r="B164" s="659"/>
      <c r="C164" s="659"/>
      <c r="D164" s="659"/>
      <c r="E164" s="661"/>
      <c r="F164" s="663"/>
      <c r="G164" s="468" t="s">
        <v>361</v>
      </c>
      <c r="H164" s="493" t="s">
        <v>505</v>
      </c>
      <c r="I164" s="457">
        <v>0.16700000000000001</v>
      </c>
      <c r="J164" s="634" t="s">
        <v>505</v>
      </c>
      <c r="K164" s="640">
        <v>0.1409</v>
      </c>
      <c r="L164" s="634" t="s">
        <v>505</v>
      </c>
      <c r="M164" s="644"/>
      <c r="N164" s="489"/>
      <c r="O164" s="489"/>
      <c r="P164" s="489"/>
      <c r="Q164" s="489"/>
      <c r="R164" s="489"/>
      <c r="S164" s="490"/>
      <c r="T164" s="398"/>
    </row>
    <row r="165" spans="2:21" ht="15.75">
      <c r="B165" s="704" t="str">
        <f>VLOOKUP(T165,Table1[],4,0)</f>
        <v xml:space="preserve">TCS-1 (M): Procentul adulţilor şi copiilor care trăiesc cu HIV și urmează tratament antiretroviral </v>
      </c>
      <c r="C165" s="704"/>
      <c r="D165" s="704"/>
      <c r="E165" s="655" t="str">
        <f>VLOOKUP(T165,Table1[],2,0)</f>
        <v>Indicator de proces</v>
      </c>
      <c r="F165" s="657" t="str">
        <f>VLOOKUP(T165,Table1[],3,0)</f>
        <v>HIV</v>
      </c>
      <c r="G165" s="471" t="s">
        <v>360</v>
      </c>
      <c r="H165" s="467" t="s">
        <v>505</v>
      </c>
      <c r="I165" s="466">
        <v>0.34499999999999997</v>
      </c>
      <c r="J165" s="467" t="s">
        <v>505</v>
      </c>
      <c r="K165" s="639">
        <v>0.41399999999999998</v>
      </c>
      <c r="L165" s="467" t="s">
        <v>505</v>
      </c>
      <c r="M165" s="466">
        <v>0.49199999999999999</v>
      </c>
      <c r="N165" s="479"/>
      <c r="O165" s="479"/>
      <c r="P165" s="479"/>
      <c r="Q165" s="479"/>
      <c r="R165" s="479"/>
      <c r="S165" s="480"/>
      <c r="T165" s="398">
        <v>24</v>
      </c>
    </row>
    <row r="166" spans="2:21" ht="15.75">
      <c r="B166" s="704"/>
      <c r="C166" s="704"/>
      <c r="D166" s="704"/>
      <c r="E166" s="656"/>
      <c r="F166" s="658"/>
      <c r="G166" s="471" t="s">
        <v>361</v>
      </c>
      <c r="H166" s="492" t="s">
        <v>505</v>
      </c>
      <c r="I166" s="457">
        <v>0.37</v>
      </c>
      <c r="J166" s="492" t="s">
        <v>505</v>
      </c>
      <c r="K166" s="640">
        <v>0.38279999999999997</v>
      </c>
      <c r="L166" s="492" t="s">
        <v>505</v>
      </c>
      <c r="M166" s="482"/>
      <c r="N166" s="482"/>
      <c r="O166" s="482"/>
      <c r="P166" s="482"/>
      <c r="Q166" s="482"/>
      <c r="R166" s="482"/>
      <c r="S166" s="483"/>
      <c r="T166" s="398"/>
    </row>
    <row r="167" spans="2:21">
      <c r="G167" s="2"/>
      <c r="N167" s="3"/>
      <c r="O167" s="3"/>
      <c r="R167" s="194"/>
      <c r="S167" s="194"/>
    </row>
    <row r="168" spans="2:21" ht="16.5" thickBot="1">
      <c r="B168" s="144"/>
      <c r="G168" s="2"/>
      <c r="N168" s="3"/>
      <c r="O168" s="3"/>
      <c r="R168" s="194"/>
      <c r="S168" s="194"/>
    </row>
    <row r="169" spans="2:21" ht="41.25" hidden="1" customHeight="1">
      <c r="B169" s="3" t="s">
        <v>410</v>
      </c>
      <c r="E169" s="143" t="s">
        <v>363</v>
      </c>
      <c r="F169" s="190" t="s">
        <v>364</v>
      </c>
      <c r="G169" s="120"/>
      <c r="H169" s="396" t="str">
        <f t="shared" ref="H169:S169" si="11">C30</f>
        <v>P1</v>
      </c>
      <c r="I169" s="396" t="str">
        <f t="shared" si="11"/>
        <v>P2</v>
      </c>
      <c r="J169" s="396" t="str">
        <f t="shared" si="11"/>
        <v>P3</v>
      </c>
      <c r="K169" s="396" t="str">
        <f t="shared" si="11"/>
        <v>P4</v>
      </c>
      <c r="L169" s="396" t="str">
        <f t="shared" si="11"/>
        <v>P5</v>
      </c>
      <c r="M169" s="396" t="str">
        <f t="shared" si="11"/>
        <v>P6</v>
      </c>
      <c r="N169" s="396" t="str">
        <f t="shared" si="11"/>
        <v>P7</v>
      </c>
      <c r="O169" s="396" t="str">
        <f t="shared" si="11"/>
        <v>P8</v>
      </c>
      <c r="P169" s="396" t="str">
        <f t="shared" si="11"/>
        <v>P9</v>
      </c>
      <c r="Q169" s="396" t="str">
        <f t="shared" si="11"/>
        <v>P10</v>
      </c>
      <c r="R169" s="396" t="str">
        <f t="shared" si="11"/>
        <v>P11</v>
      </c>
      <c r="S169" s="397" t="str">
        <f t="shared" si="11"/>
        <v>P12</v>
      </c>
      <c r="T169" s="194"/>
      <c r="U169" s="194"/>
    </row>
    <row r="170" spans="2:21" ht="25.5" hidden="1" customHeight="1">
      <c r="B170" s="690" t="str">
        <f>IF(ISBLANK(B119),"",(B119))</f>
        <v>TB I-3(M): Rata mortalităţii  - Numărul estimat de decese cauzate de TB (toate formele) pe an, la 100,000 persoane</v>
      </c>
      <c r="C170" s="707"/>
      <c r="D170" s="708"/>
      <c r="E170" s="720" t="str">
        <f>IF(ISBLANK(E119),"",(E119))</f>
        <v>Indicator de impact</v>
      </c>
      <c r="F170" s="719" t="str">
        <f>IF(ISBLANK(F119),"",(F119))</f>
        <v>TB</v>
      </c>
      <c r="G170" s="186" t="s">
        <v>360</v>
      </c>
      <c r="H170" s="254">
        <f t="shared" ref="H170:L175" si="12">H119</f>
        <v>8.6999999999999993</v>
      </c>
      <c r="I170" s="254">
        <f t="shared" si="12"/>
        <v>8.1999999999999993</v>
      </c>
      <c r="J170" s="254">
        <f t="shared" si="12"/>
        <v>8.1999999999999993</v>
      </c>
      <c r="K170" s="254">
        <f t="shared" si="12"/>
        <v>7.7</v>
      </c>
      <c r="L170" s="254">
        <f t="shared" si="12"/>
        <v>7.7</v>
      </c>
      <c r="M170" s="254">
        <f t="shared" ref="M170:S175" si="13">M119</f>
        <v>7.2</v>
      </c>
      <c r="N170" s="254">
        <f t="shared" si="13"/>
        <v>0</v>
      </c>
      <c r="O170" s="254">
        <f t="shared" si="13"/>
        <v>0</v>
      </c>
      <c r="P170" s="254">
        <f t="shared" si="13"/>
        <v>0</v>
      </c>
      <c r="Q170" s="254">
        <f t="shared" si="13"/>
        <v>0</v>
      </c>
      <c r="R170" s="254">
        <f t="shared" si="13"/>
        <v>0</v>
      </c>
      <c r="S170" s="255">
        <f t="shared" si="13"/>
        <v>0</v>
      </c>
      <c r="T170" s="194"/>
      <c r="U170" s="194"/>
    </row>
    <row r="171" spans="2:21" ht="25.5" hidden="1" customHeight="1">
      <c r="B171" s="709"/>
      <c r="C171" s="710"/>
      <c r="D171" s="711"/>
      <c r="E171" s="720"/>
      <c r="F171" s="719"/>
      <c r="G171" s="186" t="s">
        <v>361</v>
      </c>
      <c r="H171" s="256">
        <f t="shared" si="12"/>
        <v>7.94</v>
      </c>
      <c r="I171" s="256">
        <f t="shared" si="12"/>
        <v>7.54</v>
      </c>
      <c r="J171" s="256">
        <f t="shared" si="12"/>
        <v>7.54</v>
      </c>
      <c r="K171" s="256">
        <f t="shared" si="12"/>
        <v>5.92</v>
      </c>
      <c r="L171" s="256">
        <f t="shared" si="12"/>
        <v>7.9</v>
      </c>
      <c r="M171" s="254">
        <f t="shared" si="13"/>
        <v>0</v>
      </c>
      <c r="N171" s="254">
        <f t="shared" si="13"/>
        <v>0</v>
      </c>
      <c r="O171" s="254">
        <f t="shared" si="13"/>
        <v>0</v>
      </c>
      <c r="P171" s="254">
        <f t="shared" si="13"/>
        <v>0</v>
      </c>
      <c r="Q171" s="254">
        <f t="shared" si="13"/>
        <v>0</v>
      </c>
      <c r="R171" s="254">
        <f t="shared" si="13"/>
        <v>0</v>
      </c>
      <c r="S171" s="255">
        <f t="shared" si="13"/>
        <v>0</v>
      </c>
      <c r="T171" s="194"/>
      <c r="U171" s="194"/>
    </row>
    <row r="172" spans="2:21" ht="26.25" hidden="1" customHeight="1">
      <c r="B172" s="697" t="str">
        <f>IF(ISBLANK(B121),"",(B121))</f>
        <v xml:space="preserve">TB I-4(M): Prevalența TB MDR printre cazurile noi de tuberculoză </v>
      </c>
      <c r="C172" s="698"/>
      <c r="D172" s="699"/>
      <c r="E172" s="696" t="str">
        <f>IF(ISBLANK(E121),"",(E121))</f>
        <v>Indicator de impact</v>
      </c>
      <c r="F172" s="718" t="str">
        <f>IF(ISBLANK(F121),"",(F121))</f>
        <v>TB</v>
      </c>
      <c r="G172" s="187" t="s">
        <v>360</v>
      </c>
      <c r="H172" s="257">
        <f t="shared" si="12"/>
        <v>0.20499999999999999</v>
      </c>
      <c r="I172" s="257">
        <f t="shared" si="12"/>
        <v>0.24</v>
      </c>
      <c r="J172" s="257">
        <f t="shared" si="12"/>
        <v>0.24</v>
      </c>
      <c r="K172" s="257">
        <f t="shared" si="12"/>
        <v>0.23</v>
      </c>
      <c r="L172" s="257">
        <f t="shared" si="12"/>
        <v>0.23</v>
      </c>
      <c r="M172" s="257">
        <f t="shared" si="13"/>
        <v>0.21</v>
      </c>
      <c r="N172" s="257">
        <f t="shared" si="13"/>
        <v>0</v>
      </c>
      <c r="O172" s="257">
        <f t="shared" si="13"/>
        <v>0</v>
      </c>
      <c r="P172" s="257">
        <f t="shared" si="13"/>
        <v>0</v>
      </c>
      <c r="Q172" s="257">
        <f t="shared" si="13"/>
        <v>0</v>
      </c>
      <c r="R172" s="257">
        <f t="shared" si="13"/>
        <v>0</v>
      </c>
      <c r="S172" s="258">
        <f t="shared" si="13"/>
        <v>0</v>
      </c>
      <c r="T172" s="194"/>
      <c r="U172" s="194"/>
    </row>
    <row r="173" spans="2:21" ht="28.5" hidden="1" customHeight="1">
      <c r="B173" s="700"/>
      <c r="C173" s="701"/>
      <c r="D173" s="702"/>
      <c r="E173" s="696"/>
      <c r="F173" s="718"/>
      <c r="G173" s="187" t="s">
        <v>361</v>
      </c>
      <c r="H173" s="257">
        <f t="shared" si="12"/>
        <v>0.26600000000000001</v>
      </c>
      <c r="I173" s="257">
        <f t="shared" si="12"/>
        <v>0.27600000000000002</v>
      </c>
      <c r="J173" s="257">
        <f t="shared" si="12"/>
        <v>0.27700000000000002</v>
      </c>
      <c r="K173" s="257">
        <f t="shared" si="12"/>
        <v>0.28260000000000002</v>
      </c>
      <c r="L173" s="257">
        <f t="shared" si="12"/>
        <v>0.26900000000000002</v>
      </c>
      <c r="M173" s="257">
        <f t="shared" si="13"/>
        <v>0</v>
      </c>
      <c r="N173" s="257">
        <f t="shared" si="13"/>
        <v>0</v>
      </c>
      <c r="O173" s="257">
        <f t="shared" si="13"/>
        <v>0</v>
      </c>
      <c r="P173" s="257">
        <f t="shared" si="13"/>
        <v>0</v>
      </c>
      <c r="Q173" s="257">
        <f t="shared" si="13"/>
        <v>0</v>
      </c>
      <c r="R173" s="257">
        <f t="shared" si="13"/>
        <v>0</v>
      </c>
      <c r="S173" s="258">
        <f t="shared" si="13"/>
        <v>0</v>
      </c>
      <c r="T173" s="194"/>
      <c r="U173" s="194"/>
    </row>
    <row r="174" spans="2:21" ht="31.5" hidden="1" customHeight="1">
      <c r="B174" s="690" t="str">
        <f>IF(ISBLANK(B123),"",(B123))</f>
        <v>HIV I-4: Mortalitatea asociată cu SIDA la 100,000 populaţie</v>
      </c>
      <c r="C174" s="691"/>
      <c r="D174" s="692"/>
      <c r="E174" s="714" t="str">
        <f>IF(ISBLANK(E123),"",(E123))</f>
        <v>Indicator de impact</v>
      </c>
      <c r="F174" s="712" t="str">
        <f>IF(ISBLANK(F123),"",(F123))</f>
        <v>HIV</v>
      </c>
      <c r="G174" s="186" t="s">
        <v>360</v>
      </c>
      <c r="H174" s="254">
        <f t="shared" si="12"/>
        <v>3.06</v>
      </c>
      <c r="I174" s="254" t="str">
        <f t="shared" ref="I174:L174" si="14">I123</f>
        <v>n/a</v>
      </c>
      <c r="J174" s="254">
        <f t="shared" si="14"/>
        <v>3.8</v>
      </c>
      <c r="K174" s="254" t="str">
        <f t="shared" si="14"/>
        <v>n/a</v>
      </c>
      <c r="L174" s="254">
        <f t="shared" si="14"/>
        <v>3.7</v>
      </c>
      <c r="M174" s="254" t="str">
        <f t="shared" si="13"/>
        <v>n/a</v>
      </c>
      <c r="N174" s="254">
        <f t="shared" si="13"/>
        <v>3.6</v>
      </c>
      <c r="O174" s="254">
        <f t="shared" si="13"/>
        <v>0</v>
      </c>
      <c r="P174" s="254">
        <f t="shared" si="13"/>
        <v>0</v>
      </c>
      <c r="Q174" s="254">
        <f t="shared" si="13"/>
        <v>0</v>
      </c>
      <c r="R174" s="254">
        <f t="shared" si="13"/>
        <v>0</v>
      </c>
      <c r="S174" s="255">
        <f t="shared" si="13"/>
        <v>0</v>
      </c>
      <c r="T174" s="194"/>
      <c r="U174" s="194"/>
    </row>
    <row r="175" spans="2:21" ht="30.75" hidden="1" customHeight="1" thickBot="1">
      <c r="B175" s="693"/>
      <c r="C175" s="694"/>
      <c r="D175" s="695"/>
      <c r="E175" s="715"/>
      <c r="F175" s="713"/>
      <c r="G175" s="191" t="s">
        <v>361</v>
      </c>
      <c r="H175" s="259">
        <f t="shared" si="12"/>
        <v>3.6</v>
      </c>
      <c r="I175" s="259" t="str">
        <f t="shared" ref="I175:L175" si="15">I124</f>
        <v>n/a</v>
      </c>
      <c r="J175" s="259">
        <f t="shared" si="15"/>
        <v>4.2699999999999996</v>
      </c>
      <c r="K175" s="259" t="str">
        <f t="shared" si="15"/>
        <v>n/a</v>
      </c>
      <c r="L175" s="259">
        <f t="shared" si="15"/>
        <v>3.9</v>
      </c>
      <c r="M175" s="259">
        <f t="shared" si="13"/>
        <v>0</v>
      </c>
      <c r="N175" s="259">
        <f t="shared" si="13"/>
        <v>0</v>
      </c>
      <c r="O175" s="259">
        <f t="shared" si="13"/>
        <v>0</v>
      </c>
      <c r="P175" s="259">
        <f t="shared" si="13"/>
        <v>0</v>
      </c>
      <c r="Q175" s="259">
        <f t="shared" si="13"/>
        <v>0</v>
      </c>
      <c r="R175" s="259">
        <f t="shared" si="13"/>
        <v>0</v>
      </c>
      <c r="S175" s="260">
        <f t="shared" si="13"/>
        <v>0</v>
      </c>
      <c r="T175" s="194"/>
      <c r="U175" s="194"/>
    </row>
    <row r="176" spans="2:21">
      <c r="N176" s="3"/>
      <c r="O176" s="3"/>
      <c r="P176" s="194"/>
      <c r="Q176" s="194"/>
      <c r="S176" s="399"/>
    </row>
    <row r="177" spans="14:17">
      <c r="N177" s="3"/>
      <c r="O177" s="3"/>
      <c r="P177" s="194"/>
      <c r="Q177" s="194"/>
    </row>
    <row r="178" spans="14:17">
      <c r="N178" s="3"/>
      <c r="O178" s="3"/>
      <c r="P178" s="194"/>
      <c r="Q178" s="194"/>
    </row>
    <row r="179" spans="14:17">
      <c r="N179" s="3"/>
      <c r="O179" s="3"/>
      <c r="P179" s="194"/>
      <c r="Q179" s="194"/>
    </row>
  </sheetData>
  <dataConsolidate link="1"/>
  <mergeCells count="113">
    <mergeCell ref="B157:D158"/>
    <mergeCell ref="E157:E158"/>
    <mergeCell ref="F157:F158"/>
    <mergeCell ref="B159:D160"/>
    <mergeCell ref="E159:E160"/>
    <mergeCell ref="F159:F160"/>
    <mergeCell ref="B153:D154"/>
    <mergeCell ref="B165:D166"/>
    <mergeCell ref="E165:E166"/>
    <mergeCell ref="F165:F166"/>
    <mergeCell ref="B161:D162"/>
    <mergeCell ref="E161:E162"/>
    <mergeCell ref="F161:F162"/>
    <mergeCell ref="B163:D164"/>
    <mergeCell ref="E163:E164"/>
    <mergeCell ref="F163:F164"/>
    <mergeCell ref="E153:E154"/>
    <mergeCell ref="F153:F154"/>
    <mergeCell ref="B155:D156"/>
    <mergeCell ref="B145:D146"/>
    <mergeCell ref="E145:E146"/>
    <mergeCell ref="F145:F146"/>
    <mergeCell ref="B147:D148"/>
    <mergeCell ref="E147:E148"/>
    <mergeCell ref="F147:F148"/>
    <mergeCell ref="E155:E156"/>
    <mergeCell ref="F155:F156"/>
    <mergeCell ref="B149:D150"/>
    <mergeCell ref="E149:E150"/>
    <mergeCell ref="F149:F150"/>
    <mergeCell ref="B151:D152"/>
    <mergeCell ref="E151:E152"/>
    <mergeCell ref="F151:F152"/>
    <mergeCell ref="B141:D142"/>
    <mergeCell ref="E141:E142"/>
    <mergeCell ref="F141:F142"/>
    <mergeCell ref="B143:D144"/>
    <mergeCell ref="E143:E144"/>
    <mergeCell ref="F143:F144"/>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4:C74"/>
    <mergeCell ref="B118:D118"/>
    <mergeCell ref="B26:C26"/>
    <mergeCell ref="D24:E24"/>
    <mergeCell ref="B29:N29"/>
    <mergeCell ref="B62:D62"/>
    <mergeCell ref="G24:H24"/>
    <mergeCell ref="I24:J24"/>
    <mergeCell ref="B123:D124"/>
    <mergeCell ref="B18:C18"/>
    <mergeCell ref="D18:F18"/>
    <mergeCell ref="B21:J21"/>
    <mergeCell ref="E10:F10"/>
    <mergeCell ref="B174:D175"/>
    <mergeCell ref="E172:E173"/>
    <mergeCell ref="B172:D173"/>
    <mergeCell ref="B127:D128"/>
    <mergeCell ref="B129:D130"/>
    <mergeCell ref="B133:D134"/>
    <mergeCell ref="E127:E128"/>
    <mergeCell ref="E129:E130"/>
    <mergeCell ref="B135:D136"/>
    <mergeCell ref="B170:D171"/>
    <mergeCell ref="E135:E136"/>
    <mergeCell ref="B131:D132"/>
    <mergeCell ref="F174:F175"/>
    <mergeCell ref="E174:E175"/>
    <mergeCell ref="F133:F134"/>
    <mergeCell ref="E133:E134"/>
    <mergeCell ref="F131:F132"/>
    <mergeCell ref="E131:E132"/>
    <mergeCell ref="F172:F173"/>
    <mergeCell ref="F170:F171"/>
    <mergeCell ref="F135:F136"/>
    <mergeCell ref="E170:E171"/>
    <mergeCell ref="B137:D138"/>
    <mergeCell ref="E137:E138"/>
    <mergeCell ref="F137:F138"/>
    <mergeCell ref="B139:D140"/>
    <mergeCell ref="E139:E140"/>
    <mergeCell ref="F139:F140"/>
    <mergeCell ref="B125:D126"/>
    <mergeCell ref="O31:O34"/>
    <mergeCell ref="E119:E120"/>
    <mergeCell ref="F119:F120"/>
    <mergeCell ref="F121:F122"/>
    <mergeCell ref="E121:E122"/>
    <mergeCell ref="F129:F130"/>
    <mergeCell ref="B119:D120"/>
    <mergeCell ref="F123:F124"/>
    <mergeCell ref="B121:D122"/>
    <mergeCell ref="B75:C75"/>
    <mergeCell ref="E125:E126"/>
    <mergeCell ref="F125:F126"/>
    <mergeCell ref="E123:E124"/>
    <mergeCell ref="B73:C73"/>
    <mergeCell ref="F127:F128"/>
    <mergeCell ref="B110:B113"/>
  </mergeCells>
  <phoneticPr fontId="22" type="noConversion"/>
  <conditionalFormatting sqref="B34 B32 E32:H32 D33:N33">
    <cfRule type="expression" dxfId="57" priority="6" stopIfTrue="1">
      <formula>+AND(B31&gt;=#REF!,B31&lt;=#REF!)</formula>
    </cfRule>
  </conditionalFormatting>
  <conditionalFormatting sqref="D34:N34">
    <cfRule type="expression" dxfId="56" priority="7" stopIfTrue="1">
      <formula>+AND(D32&gt;=#REF!,D32&lt;=#REF!)</formula>
    </cfRule>
  </conditionalFormatting>
  <conditionalFormatting sqref="C30:N30 C96:N96">
    <cfRule type="cellIs" dxfId="55" priority="10" stopIfTrue="1" operator="equal">
      <formula>$C$16</formula>
    </cfRule>
  </conditionalFormatting>
  <conditionalFormatting sqref="C12:D12">
    <cfRule type="cellIs" dxfId="54" priority="12" stopIfTrue="1" operator="equal">
      <formula>"C"</formula>
    </cfRule>
    <cfRule type="cellIs" dxfId="53" priority="13" stopIfTrue="1" operator="equal">
      <formula>"B2"</formula>
    </cfRule>
    <cfRule type="cellIs" dxfId="52" priority="14" stopIfTrue="1" operator="equal">
      <formula>"B1"</formula>
    </cfRule>
  </conditionalFormatting>
  <conditionalFormatting sqref="H169:S169 H118:S118">
    <cfRule type="cellIs" dxfId="51" priority="21" stopIfTrue="1" operator="equal">
      <formula>$C$16</formula>
    </cfRule>
  </conditionalFormatting>
  <conditionalFormatting sqref="C34">
    <cfRule type="expression" dxfId="50" priority="1" stopIfTrue="1">
      <formula>+AND(C32&gt;=#REF!,C32&lt;=#REF!)</formula>
    </cfRule>
  </conditionalFormatting>
  <dataValidations count="9">
    <dataValidation type="list" allowBlank="1" showInputMessage="1" showErrorMessage="1" sqref="B110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0:C113" xr:uid="{00000000-0002-0000-0200-000008000000}">
      <formula1>Medicaments</formula1>
    </dataValidation>
  </dataValidations>
  <pageMargins left="0.25" right="0.25" top="0.75" bottom="0.75" header="0.3" footer="0.3"/>
  <pageSetup paperSize="8" scale="42" orientation="portrait" r:id="rId1"/>
  <headerFooter>
    <oddFooter>&amp;L&amp;F&amp;C&amp;A&amp;RV1.0          &amp;D</oddFooter>
  </headerFooter>
  <rowBreaks count="2" manualBreakCount="2">
    <brk id="50" max="16383" man="1"/>
    <brk id="106" max="13" man="1"/>
  </rowBreaks>
  <ignoredErrors>
    <ignoredError sqref="H169:S169 E170"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8"/>
  <sheetViews>
    <sheetView showGridLines="0" zoomScale="110" zoomScaleNormal="110" zoomScaleSheetLayoutView="100" workbookViewId="0">
      <selection activeCell="K10" sqref="K10"/>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129"/>
      <c r="H1" s="2"/>
      <c r="I1" s="2"/>
      <c r="J1" s="2"/>
    </row>
    <row r="2" spans="1:24" ht="25.5" customHeight="1"/>
    <row r="3" spans="1:24" ht="36">
      <c r="B3" s="760" t="str">
        <f>+"Tabel Programatic de Evaluare: "&amp;" "&amp;+IF('Introducerea datelor'!C4="Please Select","",'Introducerea datelor'!C4&amp;" - ")&amp;+IF('Introducerea datelor'!G6="Please Select","",'Introducerea datelor'!G6)</f>
        <v>Tabel Programatic de Evaluare:  Moldova - HIVAIDS / TB</v>
      </c>
      <c r="C3" s="760"/>
      <c r="D3" s="760"/>
      <c r="E3" s="760"/>
      <c r="F3" s="760"/>
      <c r="G3" s="760"/>
      <c r="H3" s="760"/>
      <c r="I3" s="760"/>
      <c r="J3" s="760"/>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354" t="s">
        <v>278</v>
      </c>
      <c r="B6" s="761" t="str">
        <f>+IF('Introducerea datelor'!C4="Please Select","",'Introducerea datelor'!C4)</f>
        <v>Moldova</v>
      </c>
      <c r="C6" s="761"/>
      <c r="D6" s="764" t="s">
        <v>282</v>
      </c>
      <c r="E6" s="764"/>
      <c r="F6" s="765" t="str">
        <f>+'Introducerea datelor'!G4</f>
        <v>Consolidarea controlului tuberculozei și reducerea SIDA și a mortalității aferente în Republica Moldova</v>
      </c>
      <c r="G6" s="765"/>
      <c r="H6" s="765"/>
      <c r="I6" s="765"/>
      <c r="J6" s="765"/>
      <c r="K6" s="32"/>
      <c r="L6" s="53"/>
      <c r="M6" s="32"/>
      <c r="N6" s="32"/>
      <c r="O6" s="32"/>
      <c r="P6" s="33"/>
      <c r="Q6" s="17"/>
      <c r="R6" s="17"/>
      <c r="S6" s="17"/>
      <c r="T6" s="17"/>
      <c r="U6" s="17"/>
    </row>
    <row r="7" spans="1:24" ht="8.25" customHeight="1">
      <c r="B7" s="6"/>
      <c r="C7" s="7"/>
      <c r="D7" s="7"/>
      <c r="E7" s="8"/>
      <c r="F7" s="8"/>
      <c r="G7" s="9"/>
      <c r="H7" s="9"/>
      <c r="K7" s="32"/>
      <c r="L7" s="32"/>
      <c r="M7" s="32"/>
      <c r="N7" s="32"/>
      <c r="O7" s="32"/>
      <c r="P7" s="33"/>
      <c r="Q7" s="17"/>
      <c r="R7" s="17"/>
      <c r="S7" s="17"/>
      <c r="T7" s="17"/>
      <c r="U7" s="17"/>
    </row>
    <row r="8" spans="1:24" ht="3.75" customHeight="1">
      <c r="C8" s="10"/>
      <c r="D8" s="10"/>
      <c r="E8" s="10"/>
      <c r="F8" s="10"/>
      <c r="G8" s="10"/>
      <c r="H8" s="10"/>
      <c r="I8" s="10"/>
      <c r="J8" s="10"/>
      <c r="K8" s="32"/>
      <c r="L8" s="32"/>
      <c r="M8" s="32"/>
      <c r="N8" s="32"/>
      <c r="O8" s="34"/>
      <c r="P8" s="33"/>
      <c r="Q8" s="34"/>
      <c r="R8" s="35"/>
      <c r="S8" s="17"/>
      <c r="T8" s="17"/>
      <c r="U8" s="17"/>
    </row>
    <row r="9" spans="1:24" ht="25.5" customHeight="1">
      <c r="A9" s="353" t="s">
        <v>283</v>
      </c>
      <c r="B9" s="156" t="str">
        <f>+IF('Introducerea datelor'!G6="Please Select","",'Introducerea datelor'!G6)</f>
        <v>HIVAIDS / TB</v>
      </c>
      <c r="C9" s="112" t="s">
        <v>246</v>
      </c>
      <c r="D9" s="157" t="str">
        <f>+'Introducerea datelor'!C6</f>
        <v>MDA-C-PCIMU</v>
      </c>
      <c r="E9" s="763" t="s">
        <v>366</v>
      </c>
      <c r="F9" s="763"/>
      <c r="G9" s="199">
        <f>+IF(ISBLANK('Introducerea datelor'!C10),"",'Introducerea datelor'!C10)</f>
        <v>43101</v>
      </c>
      <c r="H9" s="353" t="s">
        <v>284</v>
      </c>
      <c r="I9" s="762">
        <f>+IF(ISBLANK('Introducerea datelor'!I6),"",'Introducerea datelor'!I6)</f>
        <v>12888803</v>
      </c>
      <c r="J9" s="762"/>
      <c r="K9" s="32"/>
      <c r="L9" s="32"/>
      <c r="M9" s="32"/>
      <c r="N9" s="32"/>
      <c r="O9" s="34"/>
      <c r="P9" s="33"/>
      <c r="Q9" s="34"/>
      <c r="R9" s="35"/>
      <c r="S9" s="17"/>
      <c r="T9" s="11"/>
      <c r="U9" s="11"/>
      <c r="V9" s="10"/>
      <c r="W9" s="10"/>
      <c r="X9" s="10"/>
    </row>
    <row r="10" spans="1:24" ht="25.5" customHeight="1">
      <c r="A10" s="353" t="s">
        <v>285</v>
      </c>
      <c r="B10" s="158" t="str">
        <f>+IF('Introducerea datelor'!G8="Please Select","",'Introducerea datelor'!G8)</f>
        <v/>
      </c>
      <c r="C10" s="112" t="s">
        <v>286</v>
      </c>
      <c r="D10" s="159" t="str">
        <f>+IF('Introducerea datelor'!I8="Please Select","",'Introducerea datelor'!I8)</f>
        <v/>
      </c>
      <c r="E10" s="755" t="s">
        <v>367</v>
      </c>
      <c r="F10" s="755"/>
      <c r="G10" s="754" t="str">
        <f>+'Introducerea datelor'!C8</f>
        <v>IP UCIMP DS</v>
      </c>
      <c r="H10" s="754"/>
      <c r="I10" s="754"/>
      <c r="J10" s="754"/>
      <c r="K10" s="36"/>
      <c r="L10" s="36"/>
      <c r="M10" s="32"/>
      <c r="N10" s="36"/>
      <c r="O10" s="34"/>
      <c r="P10" s="33"/>
      <c r="Q10" s="11"/>
      <c r="R10" s="35"/>
      <c r="S10" s="17"/>
      <c r="T10" s="11"/>
      <c r="U10" s="11"/>
    </row>
    <row r="11" spans="1:24" ht="25.5" customHeight="1">
      <c r="A11" s="353" t="s">
        <v>289</v>
      </c>
      <c r="B11" s="352" t="str">
        <f>+'Introducerea datelor'!C16</f>
        <v>P5</v>
      </c>
      <c r="C11" s="147" t="s">
        <v>290</v>
      </c>
      <c r="D11" s="355">
        <f>+IF(ISBLANK('Introducerea datelor'!E16),"",'Introducerea datelor'!E16)</f>
        <v>43831</v>
      </c>
      <c r="E11" s="763" t="s">
        <v>291</v>
      </c>
      <c r="F11" s="763"/>
      <c r="G11" s="355">
        <f>+IF(ISBLANK('Introducerea datelor'!G16),"",'Introducerea datelor'!G16)</f>
        <v>44012</v>
      </c>
      <c r="H11" s="353" t="s">
        <v>281</v>
      </c>
      <c r="I11" s="756" t="str">
        <f>+IF('Introducerea datelor'!C12="Please Select","",'Introducerea datelor'!C12)</f>
        <v/>
      </c>
      <c r="J11" s="756"/>
      <c r="K11" s="128"/>
      <c r="L11" s="36"/>
      <c r="M11" s="32"/>
      <c r="N11" s="36"/>
      <c r="O11" s="36"/>
      <c r="P11" s="33"/>
      <c r="Q11" s="11"/>
      <c r="R11" s="35"/>
      <c r="S11" s="17"/>
      <c r="T11" s="12"/>
      <c r="U11" s="11"/>
    </row>
    <row r="12" spans="1:24" ht="25.5" customHeight="1">
      <c r="A12" s="353" t="s">
        <v>287</v>
      </c>
      <c r="B12" s="754" t="str">
        <f>+IF('Introducerea datelor'!G10="Please Select","",'Introducerea datelor'!G10)</f>
        <v>PwC (PricewaterhouseCoopers)</v>
      </c>
      <c r="C12" s="754"/>
      <c r="D12" s="754"/>
      <c r="E12" s="755" t="s">
        <v>231</v>
      </c>
      <c r="F12" s="755"/>
      <c r="G12" s="754" t="str">
        <f>+'Introducerea datelor'!G12</f>
        <v>Tsovinar Sakanyan</v>
      </c>
      <c r="H12" s="754"/>
      <c r="I12" s="754"/>
      <c r="J12" s="754"/>
      <c r="K12" s="36"/>
      <c r="L12" s="36"/>
      <c r="M12" s="32"/>
      <c r="N12" s="36"/>
      <c r="O12" s="17"/>
      <c r="P12" s="33"/>
      <c r="Q12" s="11"/>
      <c r="R12" s="35"/>
      <c r="S12" s="17"/>
      <c r="T12" s="11"/>
      <c r="U12" s="37"/>
      <c r="V12" s="11"/>
      <c r="W12" s="12"/>
      <c r="X12" s="11"/>
    </row>
    <row r="13" spans="1:24" ht="30.75" customHeight="1">
      <c r="A13" s="353" t="s">
        <v>368</v>
      </c>
      <c r="B13" s="754" t="str">
        <f>+'Introducerea datelor'!D18</f>
        <v>IP UCIMP DS</v>
      </c>
      <c r="C13" s="754"/>
      <c r="D13" s="754"/>
      <c r="E13" s="757" t="s">
        <v>369</v>
      </c>
      <c r="F13" s="757"/>
      <c r="G13" s="758">
        <f>+IF(ISBLANK('Introducerea datelor'!J16),"",'Introducerea datelor'!J16)</f>
        <v>44089</v>
      </c>
      <c r="H13" s="759"/>
      <c r="I13" s="759"/>
      <c r="J13" s="759"/>
      <c r="K13" s="17"/>
      <c r="L13" s="18"/>
      <c r="M13" s="18"/>
      <c r="N13" s="18"/>
      <c r="O13" s="17"/>
      <c r="P13" s="18"/>
      <c r="Q13" s="18"/>
      <c r="R13" s="35"/>
      <c r="S13" s="17"/>
      <c r="T13" s="18"/>
      <c r="U13" s="38"/>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15"/>
      <c r="D16" s="16"/>
      <c r="E16" s="165"/>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sheet="1" objects="1" scenarios="1"/>
  <dataConsolidate link="1"/>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2" type="noConversion"/>
  <conditionalFormatting sqref="I11:J11">
    <cfRule type="cellIs" dxfId="49" priority="1" stopIfTrue="1" operator="equal">
      <formula>"C"</formula>
    </cfRule>
    <cfRule type="cellIs" dxfId="48" priority="2" stopIfTrue="1" operator="equal">
      <formula>"B2"</formula>
    </cfRule>
    <cfRule type="cellIs" dxfId="4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5"/>
  <sheetViews>
    <sheetView showGridLines="0" topLeftCell="A22" zoomScale="130" zoomScaleNormal="130" zoomScaleSheetLayoutView="100" workbookViewId="0">
      <selection activeCell="N8" sqref="N8"/>
    </sheetView>
  </sheetViews>
  <sheetFormatPr defaultColWidth="11" defaultRowHeight="15"/>
  <cols>
    <col min="1" max="1" width="3.28515625" style="3" customWidth="1"/>
    <col min="2" max="2" width="10.42578125" style="3" customWidth="1"/>
    <col min="3" max="3" width="12.42578125" style="3" customWidth="1"/>
    <col min="4" max="4" width="13.140625" style="3" customWidth="1"/>
    <col min="5" max="5" width="11.42578125" style="3" customWidth="1"/>
    <col min="6" max="6" width="17" style="3" customWidth="1"/>
    <col min="7" max="7" width="3.85546875" style="3" customWidth="1"/>
    <col min="8" max="8" width="9.85546875" style="3" customWidth="1"/>
    <col min="9" max="9" width="13" style="3" customWidth="1"/>
    <col min="10" max="10" width="13.7109375" style="3" customWidth="1"/>
    <col min="11" max="11" width="13.5703125" style="3" customWidth="1"/>
    <col min="12" max="12" width="14.140625" style="3" customWidth="1"/>
    <col min="13" max="16384" width="11" style="3"/>
  </cols>
  <sheetData>
    <row r="1" spans="1:16" ht="28.5" customHeight="1">
      <c r="C1" s="400"/>
      <c r="E1" s="401"/>
    </row>
    <row r="2" spans="1:16" ht="27.75" customHeight="1">
      <c r="B2" s="766" t="str">
        <f>+"Tabel Programatic de Evaluare:  "&amp;"  "&amp;IF(+'Introducerea datelor'!C4="Please Select","",'Introducerea datelor'!C4&amp;" - ")&amp;IF('Introducerea datelor'!G6="Please Select","",'Introducerea datelor'!G6)</f>
        <v>Tabel Programatic de Evaluare:    Moldova - HIVAIDS / TB</v>
      </c>
      <c r="C2" s="766"/>
      <c r="D2" s="766"/>
      <c r="E2" s="766"/>
      <c r="F2" s="766"/>
      <c r="G2" s="766"/>
      <c r="H2" s="766"/>
      <c r="I2" s="766"/>
      <c r="J2" s="766"/>
      <c r="K2" s="766"/>
      <c r="L2" s="766"/>
      <c r="M2" s="402"/>
      <c r="N2" s="402"/>
      <c r="O2" s="402"/>
      <c r="P2" s="402"/>
    </row>
    <row r="3" spans="1:16">
      <c r="B3" s="356" t="str">
        <f>+IF('Introducerea datelor'!G8="Please Select","",'Introducerea datelor'!G8)</f>
        <v/>
      </c>
      <c r="C3" s="771" t="str">
        <f>+IF('Introducerea datelor'!I8="Please Select","",'Introducerea datelor'!I8)</f>
        <v/>
      </c>
      <c r="D3" s="771"/>
      <c r="E3" s="769"/>
      <c r="F3" s="769"/>
      <c r="G3" s="769"/>
      <c r="H3" s="769"/>
      <c r="I3" s="769"/>
      <c r="J3" s="770" t="str">
        <f>+'Introducerea datelor'!B16</f>
        <v>Perioada de Raportare:</v>
      </c>
      <c r="K3" s="770"/>
      <c r="L3" s="102" t="str">
        <f>+'Introducerea datelor'!C16</f>
        <v>P5</v>
      </c>
    </row>
    <row r="4" spans="1:16">
      <c r="B4" s="356" t="str">
        <f>+'Introducerea datelor'!B12</f>
        <v>Ultimul Rating:</v>
      </c>
      <c r="C4" s="767" t="str">
        <f>+IF('Introducerea datelor'!C12="Please Select","",'Introducerea datelor'!C12)</f>
        <v/>
      </c>
      <c r="D4" s="767"/>
      <c r="E4" s="769" t="str">
        <f>+'Introducerea datelor'!C8</f>
        <v>IP UCIMP DS</v>
      </c>
      <c r="F4" s="769"/>
      <c r="G4" s="769"/>
      <c r="H4" s="769"/>
      <c r="I4" s="769"/>
      <c r="J4" s="770" t="str">
        <f>+'Introducerea datelor'!D16</f>
        <v>De la:</v>
      </c>
      <c r="K4" s="772"/>
      <c r="L4" s="214">
        <f>+IF(ISBLANK('Introducerea datelor'!E16),"",'Introducerea datelor'!E16)</f>
        <v>43831</v>
      </c>
    </row>
    <row r="5" spans="1:16" ht="27.75" customHeight="1">
      <c r="B5" s="356"/>
      <c r="C5" s="356"/>
      <c r="D5" s="778" t="str">
        <f>+'Introducerea datelor'!G4</f>
        <v>Consolidarea controlului tuberculozei și reducerea SIDA și a mortalității aferente în Republica Moldova</v>
      </c>
      <c r="E5" s="778"/>
      <c r="F5" s="778"/>
      <c r="G5" s="778"/>
      <c r="H5" s="778"/>
      <c r="I5" s="778"/>
      <c r="J5" s="778"/>
      <c r="K5" s="356" t="str">
        <f>+'Introducerea datelor'!F16</f>
        <v>Pînă la:</v>
      </c>
      <c r="L5" s="214">
        <f>+IF(ISBLANK('Introducerea datelor'!G16),"",'Introducerea datelor'!G16)</f>
        <v>44012</v>
      </c>
    </row>
    <row r="6" spans="1:16" ht="18.75">
      <c r="B6" s="82"/>
      <c r="C6" s="356"/>
      <c r="D6" s="80"/>
      <c r="E6" s="768" t="s">
        <v>374</v>
      </c>
      <c r="F6" s="768"/>
      <c r="G6" s="768"/>
      <c r="H6" s="768"/>
      <c r="I6" s="768"/>
    </row>
    <row r="7" spans="1:16" ht="26.25" customHeight="1">
      <c r="B7" s="773" t="str">
        <f>+'Introducerea datelor'!B71&amp;"                "&amp;+J3&amp;" "&amp;+L3</f>
        <v>M1: Statutul Condițiilor Precedente și a Acțiunilor Prestabilite în Timp                 Perioada de Raportare: P5</v>
      </c>
      <c r="C7" s="774"/>
      <c r="D7" s="774"/>
      <c r="E7" s="774"/>
      <c r="F7" s="774"/>
      <c r="H7" s="773" t="str">
        <f>+'Introducerea datelor'!B78&amp;"                                                                             "&amp;+J3&amp;"  "&amp;+L3</f>
        <v>M2: Statutul pozițiilor cheie a RP                                                                              Perioada de Raportare:  P5</v>
      </c>
      <c r="I7" s="774"/>
      <c r="J7" s="774"/>
      <c r="K7" s="774"/>
      <c r="L7" s="774"/>
    </row>
    <row r="8" spans="1:16" ht="117.75" customHeight="1">
      <c r="B8" s="403" t="s">
        <v>373</v>
      </c>
      <c r="C8" s="775" t="s">
        <v>529</v>
      </c>
      <c r="D8" s="780"/>
      <c r="E8" s="780"/>
      <c r="F8" s="781"/>
      <c r="G8" s="404"/>
      <c r="H8" s="403" t="s">
        <v>373</v>
      </c>
      <c r="I8" s="775" t="s">
        <v>506</v>
      </c>
      <c r="J8" s="776"/>
      <c r="K8" s="776"/>
      <c r="L8" s="777"/>
    </row>
    <row r="9" spans="1:16" ht="22.5" customHeight="1">
      <c r="B9" s="2"/>
      <c r="C9" s="2"/>
      <c r="D9" s="2"/>
      <c r="E9" s="2"/>
      <c r="F9" s="2"/>
      <c r="G9" s="2"/>
      <c r="H9" s="2"/>
    </row>
    <row r="10" spans="1:16" ht="21" customHeight="1">
      <c r="A10" s="405"/>
      <c r="B10" s="2"/>
      <c r="C10" s="2"/>
      <c r="D10" s="782"/>
      <c r="E10" s="779"/>
      <c r="F10" s="779"/>
      <c r="G10" s="406"/>
      <c r="H10" s="2"/>
      <c r="N10" s="407"/>
      <c r="O10" s="407"/>
      <c r="P10" s="349"/>
    </row>
    <row r="11" spans="1:16">
      <c r="B11" s="2"/>
      <c r="C11" s="73"/>
      <c r="D11" s="782"/>
      <c r="E11" s="73"/>
      <c r="F11" s="73"/>
      <c r="G11" s="73"/>
      <c r="H11" s="73"/>
      <c r="N11" s="2"/>
      <c r="O11" s="2"/>
    </row>
    <row r="12" spans="1:16">
      <c r="B12" s="73"/>
      <c r="C12" s="408"/>
      <c r="D12" s="409"/>
      <c r="E12" s="409"/>
      <c r="F12" s="409"/>
      <c r="G12" s="409"/>
      <c r="H12" s="410"/>
      <c r="N12" s="411"/>
    </row>
    <row r="13" spans="1:16">
      <c r="B13" s="73"/>
      <c r="C13" s="408"/>
      <c r="D13" s="409"/>
      <c r="E13" s="409"/>
      <c r="F13" s="409"/>
      <c r="G13" s="409"/>
      <c r="H13" s="410"/>
    </row>
    <row r="14" spans="1:16" ht="27" customHeight="1"/>
    <row r="15" spans="1:16" ht="35.25" customHeight="1">
      <c r="B15" s="773" t="str">
        <f>+'Introducerea datelor'!B83&amp;"                                                                                                 "&amp;+J3&amp;" "&amp;+L3</f>
        <v>M3: Aranjamente contractuale (SR)                                                                                                  Perioada de Raportare: P5</v>
      </c>
      <c r="C15" s="774"/>
      <c r="D15" s="774"/>
      <c r="E15" s="774"/>
      <c r="F15" s="774"/>
      <c r="G15" s="774"/>
      <c r="H15" s="773" t="str">
        <f>+'Introducerea datelor'!B88&amp;"                        "&amp;+J3&amp;" "&amp;+L3</f>
        <v>M4: Numărul rapoartelor complete recepționate la timp                        Perioada de Raportare: P5</v>
      </c>
      <c r="I15" s="774"/>
      <c r="J15" s="774"/>
      <c r="K15" s="774"/>
      <c r="L15" s="774"/>
    </row>
    <row r="16" spans="1:16" ht="178.5" customHeight="1">
      <c r="B16" s="403" t="s">
        <v>373</v>
      </c>
      <c r="C16" s="775" t="s">
        <v>525</v>
      </c>
      <c r="D16" s="776"/>
      <c r="E16" s="776"/>
      <c r="F16" s="777"/>
      <c r="G16" s="404"/>
      <c r="H16" s="403" t="s">
        <v>373</v>
      </c>
      <c r="I16" s="775" t="s">
        <v>507</v>
      </c>
      <c r="J16" s="780"/>
      <c r="K16" s="780"/>
      <c r="L16" s="781"/>
    </row>
    <row r="17" spans="2:13">
      <c r="B17" s="412"/>
      <c r="H17" s="413"/>
    </row>
    <row r="18" spans="2:13">
      <c r="M18" s="414"/>
    </row>
    <row r="26" spans="2:13" ht="40.5" customHeight="1">
      <c r="B26" s="783" t="str">
        <f>+'Introducerea datelor'!B94</f>
        <v xml:space="preserve">M5: Bugetul și Procurarea produselor medicale, echipamentului medical, medicamentelor și produselor farmaceutice </v>
      </c>
      <c r="C26" s="784"/>
      <c r="D26" s="784"/>
      <c r="E26" s="784"/>
      <c r="F26" s="784"/>
      <c r="H26" s="773" t="str">
        <f>+'Introducerea datelor'!B107&amp;"                                                                "&amp;+J3&amp;"  "&amp;+L3</f>
        <v>M6: Diferență între stocul curent și stocul de siguranță                                                                Perioada de Raportare:  P5</v>
      </c>
      <c r="I26" s="774"/>
      <c r="J26" s="774"/>
      <c r="K26" s="774"/>
      <c r="L26" s="774"/>
    </row>
    <row r="27" spans="2:13" ht="129.75" customHeight="1">
      <c r="B27" s="403" t="s">
        <v>373</v>
      </c>
      <c r="C27" s="775" t="s">
        <v>527</v>
      </c>
      <c r="D27" s="776"/>
      <c r="E27" s="776"/>
      <c r="F27" s="777"/>
      <c r="G27" s="404"/>
      <c r="H27" s="403" t="s">
        <v>1</v>
      </c>
      <c r="I27" s="775" t="s">
        <v>528</v>
      </c>
      <c r="J27" s="786"/>
      <c r="K27" s="786"/>
      <c r="L27" s="787"/>
    </row>
    <row r="28" spans="2:13" ht="15.75" thickBot="1"/>
    <row r="29" spans="2:13" ht="59.25" customHeight="1">
      <c r="F29" s="149"/>
      <c r="G29" s="149"/>
      <c r="H29" s="193" t="s">
        <v>350</v>
      </c>
      <c r="I29" s="192" t="s">
        <v>375</v>
      </c>
      <c r="J29" s="161" t="s">
        <v>377</v>
      </c>
      <c r="K29" s="110" t="s">
        <v>378</v>
      </c>
      <c r="L29" s="148" t="s">
        <v>379</v>
      </c>
    </row>
    <row r="30" spans="2:13" ht="15" customHeight="1">
      <c r="F30" s="149"/>
      <c r="G30" s="149"/>
      <c r="H30" s="788" t="str">
        <f>+'Introducerea datelor'!B110</f>
        <v>Please Select</v>
      </c>
      <c r="I30" s="361" t="str">
        <f>+'Introducerea datelor'!C110</f>
        <v>Please Select</v>
      </c>
      <c r="J30" s="362" t="str">
        <f>+'Introducerea datelor'!I110</f>
        <v/>
      </c>
      <c r="K30" s="363">
        <f>+'Introducerea datelor'!J110</f>
        <v>0</v>
      </c>
      <c r="L30" s="364" t="str">
        <f>+'Introducerea datelor'!K110</f>
        <v/>
      </c>
    </row>
    <row r="31" spans="2:13">
      <c r="F31" s="149"/>
      <c r="G31" s="149"/>
      <c r="H31" s="789"/>
      <c r="I31" s="361" t="str">
        <f>+'Introducerea datelor'!C111</f>
        <v>Please Select</v>
      </c>
      <c r="J31" s="362" t="str">
        <f>+'Introducerea datelor'!I111</f>
        <v/>
      </c>
      <c r="K31" s="363">
        <f>+'Introducerea datelor'!J111</f>
        <v>0</v>
      </c>
      <c r="L31" s="365" t="str">
        <f>+'Introducerea datelor'!K111</f>
        <v/>
      </c>
    </row>
    <row r="32" spans="2:13">
      <c r="F32" s="149"/>
      <c r="G32" s="149"/>
      <c r="H32" s="789"/>
      <c r="I32" s="361" t="str">
        <f>+'Introducerea datelor'!C112</f>
        <v>Please Select</v>
      </c>
      <c r="J32" s="362" t="str">
        <f>+'Introducerea datelor'!I112</f>
        <v/>
      </c>
      <c r="K32" s="363">
        <f>+'Introducerea datelor'!J112</f>
        <v>0</v>
      </c>
      <c r="L32" s="364" t="str">
        <f>+'Introducerea datelor'!K112</f>
        <v/>
      </c>
    </row>
    <row r="33" spans="2:12" ht="30" customHeight="1" thickBot="1">
      <c r="F33" s="149"/>
      <c r="G33" s="149"/>
      <c r="H33" s="790"/>
      <c r="I33" s="366" t="str">
        <f>+'Introducerea datelor'!C113</f>
        <v>Please Select</v>
      </c>
      <c r="J33" s="367" t="str">
        <f>+'Introducerea datelor'!I113</f>
        <v/>
      </c>
      <c r="K33" s="368">
        <f>+'Introducerea datelor'!J113</f>
        <v>0</v>
      </c>
      <c r="L33" s="364" t="str">
        <f>+'Introducerea datelor'!K113</f>
        <v/>
      </c>
    </row>
    <row r="34" spans="2:12" ht="22.5" customHeight="1">
      <c r="B34" s="785" t="str">
        <f>+'Introducerea datelor'!B104</f>
        <v>* Include numai AFR categoriile 4,5 și 6  (Produse medicale și Echipamente medicale &amp; Medicamente și Produse farmaceutice)</v>
      </c>
      <c r="C34" s="785"/>
      <c r="D34" s="785"/>
      <c r="E34" s="785"/>
      <c r="F34" s="2"/>
      <c r="G34" s="2"/>
      <c r="H34" s="415"/>
      <c r="I34" s="416"/>
      <c r="J34" s="417"/>
      <c r="K34" s="406"/>
      <c r="L34" s="15"/>
    </row>
    <row r="35" spans="2:12">
      <c r="F35" s="2"/>
      <c r="G35" s="2"/>
      <c r="H35" s="2"/>
      <c r="I35" s="2"/>
      <c r="J35" s="2"/>
      <c r="K35" s="2"/>
      <c r="L35" s="2"/>
    </row>
  </sheetData>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2" type="noConversion"/>
  <conditionalFormatting sqref="D12:D13">
    <cfRule type="cellIs" dxfId="46" priority="1" stopIfTrue="1" operator="greaterThan">
      <formula>0</formula>
    </cfRule>
  </conditionalFormatting>
  <conditionalFormatting sqref="E12:E13">
    <cfRule type="cellIs" dxfId="45" priority="2" stopIfTrue="1" operator="greaterThan">
      <formula>0</formula>
    </cfRule>
  </conditionalFormatting>
  <conditionalFormatting sqref="F12:G13">
    <cfRule type="cellIs" dxfId="44" priority="3" stopIfTrue="1" operator="greaterThan">
      <formula>0</formula>
    </cfRule>
  </conditionalFormatting>
  <conditionalFormatting sqref="C4:D4">
    <cfRule type="cellIs" dxfId="43" priority="4" stopIfTrue="1" operator="equal">
      <formula>"C"</formula>
    </cfRule>
    <cfRule type="cellIs" dxfId="42" priority="5" stopIfTrue="1" operator="equal">
      <formula>"B2"</formula>
    </cfRule>
    <cfRule type="cellIs" dxfId="41" priority="6" stopIfTrue="1" operator="equal">
      <formula>"B1"</formula>
    </cfRule>
  </conditionalFormatting>
  <conditionalFormatting sqref="L30 L32:L33">
    <cfRule type="cellIs" dxfId="40" priority="13" stopIfTrue="1" operator="lessThan">
      <formula>1</formula>
    </cfRule>
    <cfRule type="cellIs" dxfId="39" priority="14" stopIfTrue="1" operator="between">
      <formula>3</formula>
      <formula>17</formula>
    </cfRule>
    <cfRule type="cellIs" dxfId="38" priority="15" stopIfTrue="1" operator="between">
      <formula>1</formula>
      <formula>3</formula>
    </cfRule>
  </conditionalFormatting>
  <conditionalFormatting sqref="L31">
    <cfRule type="cellIs" dxfId="37" priority="16" stopIfTrue="1" operator="lessThan">
      <formula>1</formula>
    </cfRule>
    <cfRule type="cellIs" dxfId="36" priority="17" stopIfTrue="1" operator="between">
      <formula>3</formula>
      <formula>100</formula>
    </cfRule>
    <cfRule type="cellIs" dxfId="35" priority="18" stopIfTrue="1" operator="between">
      <formula>1</formula>
      <formula>3</formula>
    </cfRule>
  </conditionalFormatting>
  <pageMargins left="0.25" right="0.25" top="0.75" bottom="0.75" header="0.3" footer="0.3"/>
  <pageSetup paperSize="8"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A1:O34"/>
  <sheetViews>
    <sheetView showGridLines="0" topLeftCell="A17" zoomScale="140" zoomScaleNormal="140" zoomScaleSheetLayoutView="175" workbookViewId="0">
      <selection activeCell="A23" sqref="A23"/>
    </sheetView>
  </sheetViews>
  <sheetFormatPr defaultColWidth="11" defaultRowHeight="15"/>
  <cols>
    <col min="1" max="6" width="19.42578125" style="3" customWidth="1"/>
    <col min="7" max="7" width="3.85546875" style="3" customWidth="1"/>
    <col min="8" max="8" width="19" style="3" customWidth="1"/>
    <col min="9" max="11" width="24.28515625" style="3" customWidth="1"/>
    <col min="12" max="16384" width="11" style="3"/>
  </cols>
  <sheetData>
    <row r="1" spans="2:15" ht="30.75" customHeight="1"/>
    <row r="2" spans="2:15" ht="27.75" customHeight="1">
      <c r="B2" s="791" t="str">
        <f>+"Tabel Programatic de Evaluare:  "&amp;"  "&amp;IF(+'Introducerea datelor'!C4="Please Select","",'Introducerea datelor'!C4&amp;" - ")&amp;IF('Introducerea datelor'!G6="Please Select","",'Introducerea datelor'!G6)</f>
        <v>Tabel Programatic de Evaluare:    Moldova - HIVAIDS / TB</v>
      </c>
      <c r="C2" s="791"/>
      <c r="D2" s="791"/>
      <c r="E2" s="791"/>
      <c r="F2" s="791"/>
      <c r="G2" s="791"/>
      <c r="H2" s="791"/>
      <c r="I2" s="791"/>
      <c r="J2" s="791"/>
      <c r="K2" s="791"/>
      <c r="L2" s="418"/>
      <c r="M2" s="418"/>
      <c r="N2" s="418"/>
      <c r="O2" s="418"/>
    </row>
    <row r="3" spans="2:15">
      <c r="B3" s="356" t="str">
        <f>+IF('Introducerea datelor'!G8="Please Select","",'Introducerea datelor'!G8)</f>
        <v/>
      </c>
      <c r="C3" s="771" t="str">
        <f>+IF('Introducerea datelor'!I8="Please Select","",'Introducerea datelor'!I8)</f>
        <v/>
      </c>
      <c r="D3" s="771"/>
      <c r="E3" s="769"/>
      <c r="F3" s="769"/>
      <c r="G3" s="769"/>
      <c r="H3" s="769"/>
      <c r="I3" s="770" t="str">
        <f>+'Introducerea datelor'!B16</f>
        <v>Perioada de Raportare:</v>
      </c>
      <c r="J3" s="770"/>
      <c r="K3" s="102" t="str">
        <f>+'Introducerea datelor'!C16</f>
        <v>P5</v>
      </c>
      <c r="L3" s="414"/>
    </row>
    <row r="4" spans="2:15">
      <c r="B4" s="356" t="str">
        <f>+'Introducerea datelor'!B12</f>
        <v>Ultimul Rating:</v>
      </c>
      <c r="C4" s="767" t="str">
        <f>+IF('Introducerea datelor'!C12="Please Select","",'Introducerea datelor'!C12)</f>
        <v/>
      </c>
      <c r="D4" s="767"/>
      <c r="E4" s="769" t="str">
        <f>+'Introducerea datelor'!C8</f>
        <v>IP UCIMP DS</v>
      </c>
      <c r="F4" s="769"/>
      <c r="G4" s="769"/>
      <c r="H4" s="769"/>
      <c r="I4" s="770" t="str">
        <f>+'Introducerea datelor'!D16</f>
        <v>De la:</v>
      </c>
      <c r="J4" s="772"/>
      <c r="K4" s="214">
        <f>+IF(ISBLANK('Introducerea datelor'!E16),"",'Introducerea datelor'!E16)</f>
        <v>43831</v>
      </c>
    </row>
    <row r="5" spans="2:15" ht="18.75" customHeight="1">
      <c r="B5" s="356"/>
      <c r="C5" s="356"/>
      <c r="D5" s="778" t="str">
        <f>+'Introducerea datelor'!G4</f>
        <v>Consolidarea controlului tuberculozei și reducerea SIDA și a mortalității aferente în Republica Moldova</v>
      </c>
      <c r="E5" s="778"/>
      <c r="F5" s="778"/>
      <c r="G5" s="778"/>
      <c r="H5" s="778"/>
      <c r="I5" s="778"/>
      <c r="J5" s="356" t="str">
        <f>+'Introducerea datelor'!F16</f>
        <v>Pînă la:</v>
      </c>
      <c r="K5" s="214">
        <f>+IF(ISBLANK('Introducerea datelor'!G16),"",'Introducerea datelor'!G16)</f>
        <v>44012</v>
      </c>
    </row>
    <row r="6" spans="2:15" ht="18.75">
      <c r="B6" s="82"/>
      <c r="C6" s="356"/>
      <c r="D6" s="80"/>
      <c r="E6" s="768" t="s">
        <v>372</v>
      </c>
      <c r="F6" s="768"/>
      <c r="G6" s="768"/>
      <c r="H6" s="768"/>
      <c r="K6" s="164"/>
    </row>
    <row r="7" spans="2:15" ht="10.5" customHeight="1">
      <c r="B7" s="83"/>
      <c r="C7" s="84"/>
      <c r="D7" s="85"/>
      <c r="E7" s="86"/>
      <c r="F7" s="86"/>
      <c r="G7" s="87"/>
      <c r="H7" s="87"/>
      <c r="I7" s="357"/>
      <c r="J7" s="357"/>
      <c r="K7" s="81"/>
      <c r="O7" s="3" t="s">
        <v>371</v>
      </c>
    </row>
    <row r="8" spans="2:15" ht="26.25" customHeight="1">
      <c r="B8" s="800" t="str">
        <f>+'Introducerea datelor'!B27&amp; " - in ("&amp;'Introducerea datelor'!D26&amp;")  "&amp;+I3&amp;" "&amp;+K3</f>
        <v>F1: Bugetul și debursările de către Fondul Global - in (€)  Perioada de Raportare: P5</v>
      </c>
      <c r="C8" s="774"/>
      <c r="D8" s="774"/>
      <c r="E8" s="774"/>
      <c r="F8" s="774"/>
      <c r="H8" s="107" t="str">
        <f>+'Introducerea datelor'!B51&amp; " - in ("&amp;'Introducerea datelor'!D26&amp;")         "&amp;+I3&amp;" "&amp;+K3</f>
        <v>F3: Debursări și cheltuieli - in (€)         Perioada de Raportare: P5</v>
      </c>
    </row>
    <row r="9" spans="2:15" ht="28.5" customHeight="1">
      <c r="B9" s="403" t="s">
        <v>373</v>
      </c>
      <c r="C9" s="801"/>
      <c r="D9" s="807"/>
      <c r="E9" s="807"/>
      <c r="F9" s="808"/>
      <c r="G9" s="419"/>
      <c r="H9" s="420" t="s">
        <v>373</v>
      </c>
      <c r="I9" s="801"/>
      <c r="J9" s="807"/>
      <c r="K9" s="808"/>
    </row>
    <row r="10" spans="2:15">
      <c r="B10" s="2"/>
      <c r="C10" s="2"/>
      <c r="D10" s="2"/>
      <c r="E10" s="2"/>
      <c r="F10" s="2"/>
    </row>
    <row r="11" spans="2:15">
      <c r="B11" s="2"/>
      <c r="C11" s="2"/>
      <c r="D11" s="2"/>
      <c r="E11" s="2"/>
      <c r="F11" s="2"/>
    </row>
    <row r="12" spans="2:15">
      <c r="B12" s="2"/>
      <c r="C12" s="2"/>
      <c r="D12" s="2"/>
      <c r="E12" s="2"/>
      <c r="F12" s="2"/>
    </row>
    <row r="13" spans="2:15">
      <c r="B13" s="2"/>
      <c r="C13" s="2"/>
      <c r="D13" s="2"/>
      <c r="E13" s="2"/>
      <c r="F13" s="2"/>
    </row>
    <row r="14" spans="2:15">
      <c r="B14" s="2"/>
      <c r="C14" s="2"/>
      <c r="D14" s="2"/>
      <c r="E14" s="2"/>
      <c r="F14" s="2"/>
    </row>
    <row r="15" spans="2:15">
      <c r="B15" s="2"/>
      <c r="C15" s="2"/>
      <c r="D15" s="2"/>
      <c r="E15" s="2"/>
      <c r="F15" s="2"/>
    </row>
    <row r="16" spans="2:15">
      <c r="B16" s="2"/>
      <c r="C16" s="2"/>
      <c r="D16" s="2"/>
      <c r="E16" s="2"/>
      <c r="F16" s="2"/>
    </row>
    <row r="17" spans="1:13">
      <c r="B17" s="2"/>
      <c r="C17" s="2"/>
      <c r="D17" s="2"/>
      <c r="E17" s="2"/>
      <c r="F17" s="2"/>
    </row>
    <row r="18" spans="1:13">
      <c r="B18" s="2"/>
      <c r="C18" s="2"/>
      <c r="D18" s="2"/>
      <c r="E18" s="2"/>
      <c r="F18" s="2"/>
    </row>
    <row r="19" spans="1:13">
      <c r="B19" s="2"/>
      <c r="C19" s="2"/>
      <c r="D19" s="2"/>
      <c r="E19" s="2"/>
      <c r="F19" s="2"/>
    </row>
    <row r="20" spans="1:13">
      <c r="B20" s="2"/>
      <c r="C20" s="2"/>
      <c r="D20" s="2"/>
      <c r="E20" s="2"/>
      <c r="F20" s="2"/>
    </row>
    <row r="21" spans="1:13">
      <c r="A21" s="2"/>
      <c r="B21" s="2"/>
      <c r="C21" s="2"/>
      <c r="D21" s="2"/>
      <c r="E21" s="2"/>
      <c r="F21" s="2"/>
      <c r="G21" s="2"/>
      <c r="H21" s="2"/>
      <c r="I21" s="2"/>
      <c r="J21" s="2"/>
      <c r="K21" s="2"/>
      <c r="M21" s="421"/>
    </row>
    <row r="22" spans="1:13" ht="24" customHeight="1">
      <c r="B22" s="796" t="str">
        <f>+'Introducerea datelor'!B36&amp; " - in ("&amp;'Introducerea datelor'!D26&amp;")  "&amp;+I3&amp;" "&amp;+K3</f>
        <v>F2: Bugetul și cheltuielile actuale după Obiectivele Grantului - in (€)  Perioada de Raportare: P5</v>
      </c>
      <c r="C22" s="797"/>
      <c r="D22" s="797"/>
      <c r="E22" s="797"/>
      <c r="F22" s="797"/>
      <c r="G22" s="136"/>
      <c r="H22" s="796" t="str">
        <f>+'Introducerea datelor'!B60&amp;"      "&amp;+I3&amp;" "&amp;+K3</f>
        <v>F4: Ultima perioadă de raportare și debursare a RP       Perioada de Raportare: P5</v>
      </c>
      <c r="I22" s="774"/>
      <c r="J22" s="774"/>
      <c r="K22" s="774"/>
    </row>
    <row r="23" spans="1:13" ht="246" customHeight="1">
      <c r="B23" s="403" t="s">
        <v>373</v>
      </c>
      <c r="C23" s="775" t="s">
        <v>526</v>
      </c>
      <c r="D23" s="809"/>
      <c r="E23" s="809"/>
      <c r="F23" s="810"/>
      <c r="G23" s="422"/>
      <c r="H23" s="420" t="s">
        <v>373</v>
      </c>
      <c r="I23" s="801"/>
      <c r="J23" s="802"/>
      <c r="K23" s="803"/>
    </row>
    <row r="24" spans="1:13" ht="15.75" thickBot="1">
      <c r="B24" s="423"/>
      <c r="C24" s="423"/>
      <c r="D24" s="423"/>
      <c r="E24" s="423"/>
      <c r="F24" s="423"/>
      <c r="G24" s="423"/>
      <c r="H24" s="424"/>
      <c r="I24" s="424"/>
      <c r="J24" s="423"/>
      <c r="K24" s="423"/>
    </row>
    <row r="25" spans="1:13" ht="29.25" customHeight="1" thickBot="1">
      <c r="G25" s="145"/>
      <c r="H25" s="804" t="s">
        <v>412</v>
      </c>
      <c r="I25" s="805"/>
      <c r="J25" s="805"/>
      <c r="K25" s="806"/>
    </row>
    <row r="26" spans="1:13">
      <c r="G26" s="135"/>
      <c r="H26" s="792"/>
      <c r="I26" s="793"/>
      <c r="J26" s="138" t="s">
        <v>313</v>
      </c>
      <c r="K26" s="139" t="s">
        <v>314</v>
      </c>
    </row>
    <row r="27" spans="1:13" ht="23.25" customHeight="1">
      <c r="G27" s="146"/>
      <c r="H27" s="798" t="str">
        <f>'Introducerea datelor'!B64</f>
        <v>Zile necesare pentru remiterea PU/DR final către ALF</v>
      </c>
      <c r="I27" s="799"/>
      <c r="J27" s="197">
        <f>+'Introducerea datelor'!C64</f>
        <v>58</v>
      </c>
      <c r="K27" s="213">
        <f>+'Introducerea datelor'!D64</f>
        <v>58</v>
      </c>
    </row>
    <row r="28" spans="1:13" ht="25.5" customHeight="1">
      <c r="G28" s="146"/>
      <c r="H28" s="798" t="str">
        <f>'Introducerea datelor'!B65</f>
        <v>Zile necesare pentru debursare către RP</v>
      </c>
      <c r="I28" s="799"/>
      <c r="J28" s="197">
        <f>+'Introducerea datelor'!C65</f>
        <v>5</v>
      </c>
      <c r="K28" s="213">
        <f>+'Introducerea datelor'!D65</f>
        <v>5</v>
      </c>
    </row>
    <row r="29" spans="1:13" ht="24.75" customHeight="1" thickBot="1">
      <c r="G29" s="146"/>
      <c r="H29" s="794" t="str">
        <f>'Introducerea datelor'!B66</f>
        <v>Zile necesare pentru debursare către SR</v>
      </c>
      <c r="I29" s="795"/>
      <c r="J29" s="198">
        <f>+'Introducerea datelor'!C66</f>
        <v>5</v>
      </c>
      <c r="K29" s="251">
        <f>+'Introducerea datelor'!D66</f>
        <v>5</v>
      </c>
    </row>
    <row r="31" spans="1:13">
      <c r="C31" s="15"/>
      <c r="D31" s="116"/>
    </row>
    <row r="32" spans="1:13">
      <c r="C32" s="15"/>
      <c r="D32" s="116"/>
    </row>
    <row r="34" spans="5:5">
      <c r="E34" s="2"/>
    </row>
  </sheetData>
  <mergeCells count="21">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 ref="B2:K2"/>
    <mergeCell ref="D5:I5"/>
    <mergeCell ref="I4:J4"/>
    <mergeCell ref="I3:J3"/>
    <mergeCell ref="E3:H3"/>
    <mergeCell ref="E4:H4"/>
    <mergeCell ref="C3:D3"/>
  </mergeCells>
  <phoneticPr fontId="22" type="noConversion"/>
  <conditionalFormatting sqref="K27:K29">
    <cfRule type="cellIs" dxfId="34" priority="4" stopIfTrue="1" operator="greaterThan">
      <formula>J27</formula>
    </cfRule>
    <cfRule type="cellIs" dxfId="33" priority="5" stopIfTrue="1" operator="between">
      <formula>J27</formula>
      <formula>1</formula>
    </cfRule>
    <cfRule type="cellIs" dxfId="32" priority="6" stopIfTrue="1" operator="equal">
      <formula>0</formula>
    </cfRule>
  </conditionalFormatting>
  <conditionalFormatting sqref="C4:D4">
    <cfRule type="cellIs" dxfId="31" priority="1" stopIfTrue="1" operator="equal">
      <formula>"C"</formula>
    </cfRule>
    <cfRule type="cellIs" dxfId="30" priority="2" stopIfTrue="1" operator="equal">
      <formula>"B2"</formula>
    </cfRule>
    <cfRule type="cellIs" dxfId="29" priority="3" stopIfTrue="1" operator="equal">
      <formula>"B1"</formula>
    </cfRule>
  </conditionalFormatting>
  <pageMargins left="0.25" right="0.25" top="0.75" bottom="0.75" header="0.3" footer="0.3"/>
  <pageSetup paperSize="8" scale="96" orientation="landscape"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topLeftCell="B56" zoomScale="90" zoomScaleNormal="90" zoomScaleSheetLayoutView="100" workbookViewId="0">
      <selection activeCell="X55" sqref="X55"/>
    </sheetView>
  </sheetViews>
  <sheetFormatPr defaultColWidth="11" defaultRowHeight="15"/>
  <cols>
    <col min="1" max="1" width="6" style="425" hidden="1" customWidth="1"/>
    <col min="2" max="2" width="9.5703125" style="621" customWidth="1"/>
    <col min="3" max="3" width="14" style="3" bestFit="1" customWidth="1"/>
    <col min="4" max="4" width="14.140625" style="3" customWidth="1"/>
    <col min="5" max="5" width="14.85546875" style="3" customWidth="1"/>
    <col min="6" max="6" width="16.7109375" style="196" customWidth="1"/>
    <col min="7" max="7" width="11" style="196" bestFit="1" customWidth="1"/>
    <col min="8" max="10" width="6" style="3" customWidth="1"/>
    <col min="11" max="11" width="14.140625" style="3" customWidth="1"/>
    <col min="12" max="12" width="5.28515625" style="3" bestFit="1" customWidth="1"/>
    <col min="13" max="13" width="17.140625" style="3" customWidth="1"/>
    <col min="14" max="14" width="5" style="3" customWidth="1"/>
    <col min="15" max="15" width="6.5703125" style="3" customWidth="1"/>
    <col min="16" max="16" width="4.140625" style="3" customWidth="1"/>
    <col min="17" max="17" width="8" style="3" bestFit="1" customWidth="1"/>
    <col min="18" max="18" width="64.42578125" style="3" customWidth="1"/>
    <col min="19" max="19" width="6.5703125" style="3" customWidth="1"/>
    <col min="20" max="20" width="4.85546875" style="426" bestFit="1" customWidth="1"/>
    <col min="21" max="21" width="9.28515625" style="426" bestFit="1" customWidth="1"/>
    <col min="22" max="23" width="11" style="426"/>
    <col min="24" max="24" width="9.28515625" style="426" bestFit="1" customWidth="1"/>
    <col min="25" max="25" width="7.7109375" style="426" bestFit="1" customWidth="1"/>
    <col min="26" max="26" width="11" style="426"/>
    <col min="27" max="27" width="6.5703125" style="426" bestFit="1" customWidth="1"/>
    <col min="28" max="28" width="7.140625" style="426" bestFit="1" customWidth="1"/>
    <col min="29" max="29" width="9.28515625" style="426" bestFit="1" customWidth="1"/>
    <col min="30" max="32" width="11" style="426"/>
    <col min="33" max="33" width="9.28515625" style="426" bestFit="1" customWidth="1"/>
    <col min="34" max="16384" width="11" style="3"/>
  </cols>
  <sheetData>
    <row r="2" spans="1:36" ht="18.75">
      <c r="C2" s="766" t="str">
        <f>+"Tabel Programatic de Evaluare:  "&amp;"  "&amp;IF(+'Introducerea datelor'!C4="Please Select","",'Introducerea datelor'!C4&amp;" - ")&amp;IF('Introducerea datelor'!G6="Please Select","",'Introducerea datelor'!G6)</f>
        <v>Tabel Programatic de Evaluare:    Moldova - HIVAIDS / TB</v>
      </c>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row>
    <row r="3" spans="1:36" ht="24.75" customHeight="1">
      <c r="C3" s="356" t="str">
        <f>+IF('Introducerea datelor'!G8="Please Select","",'Introducerea datelor'!G8)</f>
        <v/>
      </c>
      <c r="D3" s="771" t="str">
        <f>+IF('Introducerea datelor'!I8="Please Select","",'Introducerea datelor'!I8)</f>
        <v/>
      </c>
      <c r="E3" s="771"/>
      <c r="F3" s="769"/>
      <c r="G3" s="769"/>
      <c r="H3" s="769"/>
      <c r="I3" s="769"/>
      <c r="J3" s="845"/>
      <c r="K3" s="845"/>
      <c r="L3" s="845"/>
      <c r="O3" s="834" t="str">
        <f>+'Introducerea datelor'!B16</f>
        <v>Perioada de Raportare:</v>
      </c>
      <c r="P3" s="774"/>
      <c r="Q3" s="774"/>
      <c r="R3" s="103" t="str">
        <f>+'Introducerea datelor'!C16</f>
        <v>P5</v>
      </c>
    </row>
    <row r="4" spans="1:36">
      <c r="C4" s="356" t="str">
        <f>+'Introducerea datelor'!B12</f>
        <v>Ultimul Rating:</v>
      </c>
      <c r="D4" s="846" t="str">
        <f>+IF('Introducerea datelor'!C12="Please Select","",'Introducerea datelor'!C12)</f>
        <v/>
      </c>
      <c r="E4" s="846"/>
      <c r="F4" s="769" t="str">
        <f>+'Introducerea datelor'!C8</f>
        <v>IP UCIMP DS</v>
      </c>
      <c r="G4" s="769"/>
      <c r="H4" s="769"/>
      <c r="I4" s="769"/>
      <c r="J4" s="769"/>
      <c r="K4" s="769"/>
      <c r="L4" s="769"/>
      <c r="M4" s="769"/>
      <c r="P4" s="151"/>
      <c r="Q4" s="356" t="str">
        <f>+'Introducerea datelor'!D16</f>
        <v>De la:</v>
      </c>
      <c r="R4" s="427">
        <f>+IF(ISBLANK('Introducerea datelor'!E16),"",'Introducerea datelor'!E16)</f>
        <v>43831</v>
      </c>
      <c r="Z4" s="5"/>
      <c r="AA4" s="5"/>
      <c r="AB4" s="5"/>
      <c r="AC4" s="5"/>
      <c r="AD4" s="5"/>
    </row>
    <row r="5" spans="1:36">
      <c r="C5" s="356"/>
      <c r="D5" s="356"/>
      <c r="E5" s="769" t="str">
        <f>+'Introducerea datelor'!G4</f>
        <v>Consolidarea controlului tuberculozei și reducerea SIDA și a mortalității aferente în Republica Moldova</v>
      </c>
      <c r="F5" s="769"/>
      <c r="G5" s="769"/>
      <c r="H5" s="769"/>
      <c r="I5" s="769"/>
      <c r="J5" s="769"/>
      <c r="K5" s="769"/>
      <c r="L5" s="769"/>
      <c r="M5" s="769"/>
      <c r="N5" s="769"/>
      <c r="O5" s="769"/>
      <c r="Q5" s="356" t="str">
        <f>+'Introducerea datelor'!F16</f>
        <v>Pînă la:</v>
      </c>
      <c r="R5" s="427">
        <f>+IF(ISBLANK('Introducerea datelor'!G16),"",'Introducerea datelor'!G16)</f>
        <v>44012</v>
      </c>
      <c r="T5" s="5"/>
      <c r="U5" s="5"/>
      <c r="V5" s="5"/>
      <c r="W5" s="5"/>
      <c r="X5" s="5"/>
      <c r="Y5" s="5"/>
      <c r="Z5" s="5"/>
      <c r="AA5" s="5"/>
      <c r="AB5" s="5" t="s">
        <v>23</v>
      </c>
      <c r="AC5" s="5"/>
      <c r="AD5" s="5" t="s">
        <v>212</v>
      </c>
      <c r="AE5" s="5"/>
      <c r="AF5" s="5"/>
      <c r="AG5" s="5"/>
      <c r="AH5" s="428"/>
      <c r="AI5" s="428"/>
      <c r="AJ5" s="428"/>
    </row>
    <row r="6" spans="1:36" ht="18.75">
      <c r="C6" s="356"/>
      <c r="D6" s="356"/>
      <c r="E6" s="358"/>
      <c r="F6" s="358"/>
      <c r="G6" s="844" t="s">
        <v>385</v>
      </c>
      <c r="H6" s="844"/>
      <c r="I6" s="844"/>
      <c r="J6" s="844"/>
      <c r="K6" s="844"/>
      <c r="L6" s="844"/>
      <c r="M6" s="358"/>
      <c r="P6" s="105"/>
      <c r="Q6" s="125"/>
      <c r="T6" s="5"/>
      <c r="U6" s="5"/>
      <c r="V6" s="5"/>
      <c r="W6" s="5"/>
      <c r="X6" s="5"/>
      <c r="Y6" s="5"/>
      <c r="Z6" s="5"/>
      <c r="AA6" s="5"/>
      <c r="AB6" s="5"/>
      <c r="AC6" s="5"/>
      <c r="AD6" s="5"/>
      <c r="AE6" s="5"/>
      <c r="AF6" s="5"/>
      <c r="AG6" s="5"/>
      <c r="AH6" s="428"/>
      <c r="AI6" s="428"/>
      <c r="AJ6" s="428"/>
    </row>
    <row r="7" spans="1:36">
      <c r="C7" s="356"/>
      <c r="D7" s="356"/>
      <c r="E7" s="358"/>
      <c r="F7" s="358"/>
      <c r="G7" s="358"/>
      <c r="H7" s="358"/>
      <c r="I7" s="358"/>
      <c r="J7" s="358"/>
      <c r="K7" s="358"/>
      <c r="L7" s="358"/>
      <c r="M7" s="358"/>
      <c r="P7" s="105"/>
      <c r="Q7" s="104"/>
      <c r="R7" s="104"/>
      <c r="T7" s="5"/>
      <c r="U7" s="5"/>
      <c r="V7" s="5"/>
      <c r="W7" s="5"/>
      <c r="X7" s="5"/>
      <c r="Y7" s="5"/>
      <c r="Z7" s="5"/>
      <c r="AA7" s="5"/>
      <c r="AB7" s="5"/>
      <c r="AC7" s="5"/>
      <c r="AD7" s="5"/>
      <c r="AE7" s="5"/>
      <c r="AF7" s="5"/>
      <c r="AG7" s="5"/>
      <c r="AH7" s="428"/>
      <c r="AI7" s="428"/>
      <c r="AJ7" s="428"/>
    </row>
    <row r="8" spans="1:36" s="430" customFormat="1" ht="42" customHeight="1">
      <c r="A8" s="429"/>
      <c r="B8" s="622"/>
      <c r="D8" s="836" t="str">
        <f>+'Introducerea datelor'!B119</f>
        <v>TB I-3(M): Rata mortalităţii  - Numărul estimat de decese cauzate de TB (toate formele) pe an, la 100,000 persoane</v>
      </c>
      <c r="E8" s="836"/>
      <c r="F8" s="836"/>
      <c r="G8" s="431"/>
      <c r="H8" s="836" t="str">
        <f>+'Introducerea datelor'!B121</f>
        <v xml:space="preserve">TB I-4(M): Prevalența TB MDR printre cazurile noi de tuberculoză </v>
      </c>
      <c r="I8" s="836"/>
      <c r="J8" s="836"/>
      <c r="K8" s="836"/>
      <c r="L8" s="836"/>
      <c r="M8" s="432"/>
      <c r="N8" s="835" t="str">
        <f>+'Introducerea datelor'!B123</f>
        <v>HIV I-4: Mortalitatea asociată cu SIDA la 100,000 populaţie</v>
      </c>
      <c r="O8" s="835"/>
      <c r="P8" s="835"/>
      <c r="Q8" s="835"/>
      <c r="R8" s="835"/>
      <c r="T8" s="433"/>
      <c r="U8" s="433"/>
      <c r="V8" s="433"/>
      <c r="W8" s="433"/>
      <c r="X8" s="433"/>
      <c r="Y8" s="433"/>
      <c r="Z8" s="433"/>
      <c r="AA8" s="433"/>
      <c r="AB8" s="433"/>
      <c r="AC8" s="433"/>
      <c r="AD8" s="433"/>
      <c r="AE8" s="433"/>
      <c r="AF8" s="433"/>
      <c r="AG8" s="433"/>
    </row>
    <row r="9" spans="1:36" ht="202.5" customHeight="1">
      <c r="C9" s="613" t="s">
        <v>380</v>
      </c>
      <c r="D9" s="831" t="s">
        <v>510</v>
      </c>
      <c r="E9" s="837"/>
      <c r="F9" s="838"/>
      <c r="G9" s="614" t="s">
        <v>381</v>
      </c>
      <c r="H9" s="831" t="s">
        <v>512</v>
      </c>
      <c r="I9" s="837"/>
      <c r="J9" s="837"/>
      <c r="K9" s="837"/>
      <c r="L9" s="838"/>
      <c r="M9" s="614" t="s">
        <v>382</v>
      </c>
      <c r="N9" s="831" t="s">
        <v>513</v>
      </c>
      <c r="O9" s="832"/>
      <c r="P9" s="832"/>
      <c r="Q9" s="832"/>
      <c r="R9" s="833"/>
    </row>
    <row r="10" spans="1:36">
      <c r="C10" s="441"/>
      <c r="D10" s="441"/>
      <c r="E10" s="615"/>
      <c r="F10" s="615"/>
      <c r="G10" s="615"/>
      <c r="H10" s="615"/>
      <c r="I10" s="615"/>
      <c r="J10" s="615"/>
      <c r="K10" s="615"/>
      <c r="L10" s="615"/>
      <c r="M10" s="615"/>
      <c r="N10" s="616"/>
      <c r="O10" s="616"/>
      <c r="P10" s="617"/>
      <c r="Q10" s="104"/>
      <c r="R10" s="616"/>
    </row>
    <row r="11" spans="1:36">
      <c r="C11" s="441"/>
      <c r="D11" s="441"/>
      <c r="E11" s="615"/>
      <c r="F11" s="615"/>
      <c r="G11" s="615"/>
      <c r="H11" s="615"/>
      <c r="I11" s="615"/>
      <c r="J11" s="615"/>
      <c r="K11" s="615"/>
      <c r="L11" s="615"/>
      <c r="M11" s="615"/>
      <c r="N11" s="616"/>
      <c r="O11" s="616"/>
      <c r="P11" s="617"/>
      <c r="Q11" s="104"/>
      <c r="R11" s="616"/>
    </row>
    <row r="12" spans="1:36">
      <c r="C12" s="441"/>
      <c r="D12" s="441"/>
      <c r="E12" s="615"/>
      <c r="F12" s="615"/>
      <c r="G12" s="615"/>
      <c r="H12" s="615"/>
      <c r="I12" s="615"/>
      <c r="J12" s="615"/>
      <c r="K12" s="615"/>
      <c r="L12" s="615"/>
      <c r="M12" s="615"/>
      <c r="N12" s="616"/>
      <c r="O12" s="616"/>
      <c r="P12" s="617"/>
      <c r="Q12" s="104"/>
      <c r="R12" s="616"/>
    </row>
    <row r="13" spans="1:36">
      <c r="C13" s="441"/>
      <c r="D13" s="441"/>
      <c r="E13" s="615"/>
      <c r="F13" s="615"/>
      <c r="G13" s="615"/>
      <c r="H13" s="615"/>
      <c r="I13" s="615"/>
      <c r="J13" s="615"/>
      <c r="K13" s="615"/>
      <c r="L13" s="615"/>
      <c r="M13" s="615"/>
      <c r="N13" s="616"/>
      <c r="O13" s="616"/>
      <c r="P13" s="617"/>
      <c r="Q13" s="104"/>
      <c r="R13" s="616"/>
    </row>
    <row r="14" spans="1:36">
      <c r="C14" s="441"/>
      <c r="D14" s="441"/>
      <c r="E14" s="615"/>
      <c r="F14" s="615"/>
      <c r="G14" s="615"/>
      <c r="H14" s="615"/>
      <c r="I14" s="615"/>
      <c r="J14" s="615"/>
      <c r="K14" s="615"/>
      <c r="L14" s="615"/>
      <c r="M14" s="615"/>
      <c r="N14" s="616"/>
      <c r="O14" s="616"/>
      <c r="P14" s="617"/>
      <c r="Q14" s="104"/>
      <c r="R14" s="616"/>
    </row>
    <row r="15" spans="1:36">
      <c r="C15" s="441"/>
      <c r="D15" s="441"/>
      <c r="E15" s="615"/>
      <c r="F15" s="615"/>
      <c r="G15" s="615"/>
      <c r="H15" s="615"/>
      <c r="I15" s="615"/>
      <c r="J15" s="615"/>
      <c r="K15" s="615"/>
      <c r="L15" s="615"/>
      <c r="M15" s="615"/>
      <c r="N15" s="616"/>
      <c r="O15" s="616"/>
      <c r="P15" s="617"/>
      <c r="Q15" s="104"/>
      <c r="R15" s="616"/>
    </row>
    <row r="16" spans="1:36">
      <c r="C16" s="441"/>
      <c r="D16" s="441"/>
      <c r="E16" s="615"/>
      <c r="F16" s="615"/>
      <c r="G16" s="615"/>
      <c r="H16" s="615"/>
      <c r="I16" s="615"/>
      <c r="J16" s="615"/>
      <c r="K16" s="615"/>
      <c r="L16" s="615"/>
      <c r="M16" s="615"/>
      <c r="N16" s="616"/>
      <c r="O16" s="616"/>
      <c r="P16" s="617"/>
      <c r="Q16" s="104"/>
      <c r="R16" s="616"/>
    </row>
    <row r="17" spans="1:36">
      <c r="C17" s="441"/>
      <c r="D17" s="441"/>
      <c r="E17" s="615"/>
      <c r="F17" s="615"/>
      <c r="G17" s="615"/>
      <c r="H17" s="615"/>
      <c r="I17" s="615"/>
      <c r="J17" s="615"/>
      <c r="K17" s="615"/>
      <c r="L17" s="615"/>
      <c r="M17" s="615"/>
      <c r="N17" s="616"/>
      <c r="O17" s="616"/>
      <c r="P17" s="617"/>
      <c r="Q17" s="104"/>
      <c r="R17" s="616"/>
      <c r="T17" s="5"/>
      <c r="U17" s="5"/>
      <c r="V17" s="5"/>
      <c r="W17" s="5"/>
      <c r="X17" s="5"/>
      <c r="Y17" s="5"/>
      <c r="Z17" s="5"/>
      <c r="AA17" s="5"/>
      <c r="AB17" s="5"/>
      <c r="AC17" s="5"/>
      <c r="AD17" s="5"/>
      <c r="AE17" s="5"/>
      <c r="AF17" s="5"/>
      <c r="AG17" s="5"/>
      <c r="AH17" s="428"/>
      <c r="AI17" s="428"/>
      <c r="AJ17" s="428"/>
    </row>
    <row r="18" spans="1:36">
      <c r="A18" s="3"/>
      <c r="B18" s="442"/>
      <c r="C18" s="616"/>
      <c r="D18" s="616"/>
      <c r="E18" s="616"/>
      <c r="F18" s="616"/>
      <c r="G18" s="616"/>
      <c r="H18" s="616"/>
      <c r="I18" s="616"/>
      <c r="J18" s="616"/>
      <c r="K18" s="616"/>
      <c r="L18" s="616"/>
      <c r="M18" s="616"/>
      <c r="N18" s="616"/>
      <c r="O18" s="616"/>
      <c r="P18" s="616"/>
      <c r="Q18" s="616"/>
      <c r="R18" s="616"/>
    </row>
    <row r="19" spans="1:36" s="430" customFormat="1" ht="50.25" customHeight="1">
      <c r="B19" s="623"/>
      <c r="C19" s="618"/>
      <c r="D19" s="842" t="str">
        <f>+'Introducerea datelor'!B125</f>
        <v xml:space="preserve">HIV I-9a (M): Procentul BSB care trăiesc cu HIV </v>
      </c>
      <c r="E19" s="842"/>
      <c r="F19" s="842"/>
      <c r="G19" s="619"/>
      <c r="H19" s="842" t="str">
        <f>+'Introducerea datelor'!B127</f>
        <v>HIV I-10 (M): Procentul LSC care trăiesc cu HIV</v>
      </c>
      <c r="I19" s="842"/>
      <c r="J19" s="842"/>
      <c r="K19" s="842"/>
      <c r="L19" s="842"/>
      <c r="M19" s="620"/>
      <c r="N19" s="843" t="str">
        <f>+'Introducerea datelor'!B129</f>
        <v>HIV I-11 (M): Procentul consumatorilor de droguri injectabile care trăiesc cu HIV</v>
      </c>
      <c r="O19" s="843"/>
      <c r="P19" s="843"/>
      <c r="Q19" s="843"/>
      <c r="R19" s="843"/>
      <c r="T19" s="433"/>
      <c r="U19" s="433"/>
      <c r="V19" s="433"/>
      <c r="W19" s="433"/>
      <c r="X19" s="433"/>
      <c r="Y19" s="433"/>
      <c r="Z19" s="433"/>
      <c r="AA19" s="433"/>
      <c r="AB19" s="433"/>
      <c r="AC19" s="433"/>
      <c r="AD19" s="433"/>
      <c r="AE19" s="433"/>
      <c r="AF19" s="433"/>
      <c r="AG19" s="433"/>
    </row>
    <row r="20" spans="1:36" ht="51" customHeight="1">
      <c r="A20" s="3"/>
      <c r="B20" s="442"/>
      <c r="C20" s="613" t="s">
        <v>380</v>
      </c>
      <c r="D20" s="831" t="s">
        <v>518</v>
      </c>
      <c r="E20" s="837"/>
      <c r="F20" s="838"/>
      <c r="G20" s="614" t="s">
        <v>381</v>
      </c>
      <c r="H20" s="831" t="s">
        <v>518</v>
      </c>
      <c r="I20" s="837"/>
      <c r="J20" s="837"/>
      <c r="K20" s="837"/>
      <c r="L20" s="838"/>
      <c r="M20" s="614" t="s">
        <v>382</v>
      </c>
      <c r="N20" s="831" t="s">
        <v>518</v>
      </c>
      <c r="O20" s="832"/>
      <c r="P20" s="832"/>
      <c r="Q20" s="832"/>
      <c r="R20" s="833"/>
    </row>
    <row r="21" spans="1:36">
      <c r="A21" s="3"/>
      <c r="B21" s="442"/>
      <c r="C21" s="356"/>
      <c r="D21" s="356"/>
      <c r="E21" s="358"/>
      <c r="F21" s="358"/>
      <c r="G21" s="358"/>
      <c r="H21" s="358"/>
      <c r="I21" s="358"/>
      <c r="J21" s="358"/>
      <c r="K21" s="358"/>
      <c r="L21" s="358"/>
      <c r="M21" s="358"/>
      <c r="P21" s="105"/>
      <c r="Q21" s="104"/>
    </row>
    <row r="22" spans="1:36">
      <c r="A22" s="3"/>
      <c r="B22" s="442"/>
      <c r="C22" s="356"/>
      <c r="D22" s="356"/>
      <c r="E22" s="358"/>
      <c r="F22" s="358"/>
      <c r="G22" s="358"/>
      <c r="H22" s="358"/>
      <c r="I22" s="358"/>
      <c r="J22" s="358"/>
      <c r="K22" s="358"/>
      <c r="L22" s="358"/>
      <c r="M22" s="358"/>
      <c r="P22" s="105"/>
      <c r="Q22" s="104"/>
    </row>
    <row r="23" spans="1:36">
      <c r="A23" s="3"/>
      <c r="B23" s="442"/>
      <c r="C23" s="356"/>
      <c r="D23" s="356"/>
      <c r="E23" s="358"/>
      <c r="F23" s="358"/>
      <c r="G23" s="358"/>
      <c r="H23" s="358"/>
      <c r="I23" s="358"/>
      <c r="J23" s="358"/>
      <c r="K23" s="358"/>
      <c r="L23" s="358"/>
      <c r="M23" s="358"/>
      <c r="P23" s="105"/>
      <c r="Q23" s="104"/>
    </row>
    <row r="24" spans="1:36">
      <c r="A24" s="3"/>
      <c r="B24" s="442"/>
      <c r="C24" s="356"/>
      <c r="D24" s="356"/>
      <c r="E24" s="358"/>
      <c r="F24" s="358"/>
      <c r="G24" s="358"/>
      <c r="H24" s="358"/>
      <c r="I24" s="358"/>
      <c r="J24" s="358"/>
      <c r="K24" s="358"/>
      <c r="L24" s="358"/>
      <c r="M24" s="358"/>
      <c r="P24" s="105"/>
      <c r="Q24" s="104"/>
    </row>
    <row r="25" spans="1:36">
      <c r="A25" s="3"/>
      <c r="B25" s="442"/>
      <c r="C25" s="356"/>
      <c r="D25" s="356"/>
      <c r="E25" s="358"/>
      <c r="F25" s="358"/>
      <c r="G25" s="358"/>
      <c r="H25" s="358"/>
      <c r="I25" s="358"/>
      <c r="J25" s="358"/>
      <c r="K25" s="358"/>
      <c r="L25" s="358"/>
      <c r="M25" s="358"/>
      <c r="P25" s="105"/>
      <c r="Q25" s="104"/>
    </row>
    <row r="26" spans="1:36">
      <c r="A26" s="3"/>
      <c r="B26" s="442"/>
      <c r="C26" s="356"/>
      <c r="D26" s="356"/>
      <c r="E26" s="358"/>
      <c r="F26" s="358"/>
      <c r="G26" s="358"/>
      <c r="H26" s="358"/>
      <c r="I26" s="358"/>
      <c r="J26" s="358"/>
      <c r="K26" s="358"/>
      <c r="L26" s="358"/>
      <c r="M26" s="358"/>
      <c r="P26" s="105"/>
      <c r="Q26" s="104"/>
    </row>
    <row r="27" spans="1:36">
      <c r="A27" s="3"/>
      <c r="B27" s="442"/>
      <c r="C27" s="356"/>
      <c r="D27" s="356"/>
      <c r="E27" s="358"/>
      <c r="F27" s="358"/>
      <c r="G27" s="358"/>
      <c r="H27" s="358"/>
      <c r="I27" s="358"/>
      <c r="J27" s="358"/>
      <c r="K27" s="358"/>
      <c r="L27" s="358"/>
      <c r="M27" s="358"/>
      <c r="P27" s="105"/>
      <c r="Q27" s="104"/>
    </row>
    <row r="28" spans="1:36">
      <c r="A28" s="3"/>
      <c r="B28" s="442"/>
      <c r="C28" s="356"/>
      <c r="D28" s="356"/>
      <c r="E28" s="358"/>
      <c r="F28" s="358"/>
      <c r="G28" s="358"/>
      <c r="H28" s="358"/>
      <c r="I28" s="358"/>
      <c r="J28" s="358"/>
      <c r="K28" s="358"/>
      <c r="L28" s="358"/>
      <c r="M28" s="358"/>
      <c r="P28" s="105"/>
      <c r="Q28" s="104"/>
    </row>
    <row r="29" spans="1:36">
      <c r="F29" s="3"/>
      <c r="G29" s="3"/>
      <c r="T29" s="5"/>
      <c r="U29" s="5"/>
      <c r="V29" s="5"/>
      <c r="W29" s="5"/>
      <c r="X29" s="5"/>
      <c r="Y29" s="5"/>
      <c r="Z29" s="5"/>
      <c r="AA29" s="5"/>
      <c r="AB29" s="5"/>
      <c r="AC29" s="5"/>
      <c r="AD29" s="5"/>
      <c r="AE29" s="5"/>
      <c r="AF29" s="5"/>
      <c r="AG29" s="5"/>
      <c r="AH29" s="428"/>
      <c r="AI29" s="428"/>
      <c r="AJ29" s="428"/>
    </row>
    <row r="30" spans="1:36">
      <c r="C30" s="356"/>
      <c r="D30" s="356"/>
      <c r="E30" s="358"/>
      <c r="F30" s="358"/>
      <c r="G30" s="358"/>
      <c r="H30" s="358"/>
      <c r="I30" s="358"/>
      <c r="J30" s="358"/>
      <c r="K30" s="358"/>
      <c r="L30" s="358"/>
      <c r="M30" s="358"/>
      <c r="P30" s="105"/>
      <c r="Q30" s="104"/>
      <c r="T30" s="5"/>
      <c r="U30" s="5"/>
      <c r="V30" s="5"/>
      <c r="W30" s="5"/>
      <c r="X30" s="5"/>
      <c r="Y30" s="5"/>
      <c r="Z30" s="5"/>
      <c r="AA30" s="5"/>
      <c r="AB30" s="5"/>
      <c r="AC30" s="5"/>
      <c r="AD30" s="5"/>
      <c r="AE30" s="5"/>
      <c r="AF30" s="5"/>
      <c r="AG30" s="5"/>
      <c r="AH30" s="428"/>
      <c r="AI30" s="428"/>
      <c r="AJ30" s="428"/>
    </row>
    <row r="31" spans="1:36">
      <c r="C31" s="356"/>
      <c r="D31" s="356"/>
      <c r="E31" s="358"/>
      <c r="F31" s="358"/>
      <c r="G31" s="358"/>
      <c r="H31" s="358"/>
      <c r="I31" s="358"/>
      <c r="J31" s="358"/>
      <c r="K31" s="358"/>
      <c r="L31" s="358"/>
      <c r="M31" s="358"/>
      <c r="P31" s="105"/>
      <c r="Q31" s="104"/>
      <c r="T31" s="5"/>
      <c r="U31" s="5"/>
      <c r="V31" s="5"/>
      <c r="W31" s="5"/>
      <c r="X31" s="5"/>
      <c r="Y31" s="5"/>
      <c r="Z31" s="5"/>
      <c r="AA31" s="5"/>
      <c r="AB31" s="5"/>
      <c r="AC31" s="5"/>
      <c r="AD31" s="5"/>
      <c r="AE31" s="5"/>
      <c r="AF31" s="5"/>
      <c r="AG31" s="5"/>
      <c r="AH31" s="428"/>
      <c r="AI31" s="428"/>
      <c r="AJ31" s="428"/>
    </row>
    <row r="32" spans="1:36">
      <c r="C32" s="356"/>
      <c r="D32" s="356"/>
      <c r="E32" s="358"/>
      <c r="F32" s="358"/>
      <c r="G32" s="358"/>
      <c r="H32" s="358"/>
      <c r="I32" s="358"/>
      <c r="J32" s="358"/>
      <c r="K32" s="358"/>
      <c r="L32" s="358"/>
      <c r="M32" s="358"/>
      <c r="P32" s="105"/>
      <c r="Q32" s="104"/>
      <c r="T32" s="5"/>
      <c r="U32" s="5"/>
      <c r="V32" s="5"/>
      <c r="W32" s="5"/>
      <c r="X32" s="5"/>
      <c r="Y32" s="5"/>
      <c r="Z32" s="5"/>
      <c r="AA32" s="5"/>
      <c r="AB32" s="5"/>
      <c r="AC32" s="5"/>
      <c r="AD32" s="5"/>
      <c r="AE32" s="5"/>
      <c r="AF32" s="5"/>
      <c r="AG32" s="5"/>
      <c r="AH32" s="428"/>
      <c r="AI32" s="428"/>
      <c r="AJ32" s="428"/>
    </row>
    <row r="33" spans="1:38" ht="18.75">
      <c r="C33" s="82"/>
      <c r="D33" s="356"/>
      <c r="E33" s="80"/>
      <c r="F33" s="839"/>
      <c r="G33" s="839"/>
      <c r="H33" s="839"/>
      <c r="I33" s="839"/>
      <c r="J33" s="839"/>
      <c r="K33" s="839"/>
      <c r="L33" s="839"/>
      <c r="T33" s="5"/>
      <c r="U33" s="5"/>
      <c r="V33" s="5"/>
      <c r="W33" s="5"/>
      <c r="X33" s="5"/>
      <c r="Y33" s="5"/>
      <c r="Z33" s="5"/>
      <c r="AA33" s="5"/>
      <c r="AB33" s="5"/>
      <c r="AC33" s="5"/>
      <c r="AD33" s="5"/>
      <c r="AE33" s="5"/>
      <c r="AF33" s="5"/>
      <c r="AG33" s="5"/>
      <c r="AH33" s="428"/>
      <c r="AI33" s="428"/>
      <c r="AJ33" s="428"/>
    </row>
    <row r="34" spans="1:38" ht="43.5" customHeight="1">
      <c r="C34" s="840" t="s">
        <v>383</v>
      </c>
      <c r="D34" s="840"/>
      <c r="E34" s="840"/>
      <c r="F34" s="359" t="s">
        <v>360</v>
      </c>
      <c r="G34" s="359" t="s">
        <v>361</v>
      </c>
      <c r="H34" s="823" t="s">
        <v>247</v>
      </c>
      <c r="I34" s="824"/>
      <c r="J34" s="825" t="s">
        <v>248</v>
      </c>
      <c r="K34" s="826"/>
      <c r="L34" s="150" t="s">
        <v>249</v>
      </c>
      <c r="M34" s="820" t="s">
        <v>384</v>
      </c>
      <c r="N34" s="821"/>
      <c r="O34" s="821"/>
      <c r="P34" s="821"/>
      <c r="Q34" s="821"/>
      <c r="R34" s="822"/>
      <c r="T34" s="434" t="s">
        <v>53</v>
      </c>
      <c r="U34" s="435">
        <v>0</v>
      </c>
      <c r="V34" s="436">
        <v>0.3</v>
      </c>
      <c r="W34" s="436">
        <v>0.6</v>
      </c>
      <c r="X34" s="436">
        <v>0.9</v>
      </c>
      <c r="Y34" s="436">
        <v>1</v>
      </c>
      <c r="Z34" s="437"/>
      <c r="AA34" s="437"/>
      <c r="AB34" s="434" t="s">
        <v>53</v>
      </c>
      <c r="AC34" s="435">
        <v>0</v>
      </c>
      <c r="AD34" s="436">
        <v>0.2</v>
      </c>
      <c r="AE34" s="436">
        <v>0.4</v>
      </c>
      <c r="AF34" s="436">
        <v>0.6</v>
      </c>
      <c r="AG34" s="436">
        <v>0.8</v>
      </c>
      <c r="AH34" s="437"/>
      <c r="AI34" s="437"/>
      <c r="AJ34" s="437"/>
      <c r="AK34" s="438"/>
      <c r="AL34" s="438"/>
    </row>
    <row r="35" spans="1:38" s="530" customFormat="1" ht="134.25" customHeight="1">
      <c r="A35" s="595">
        <v>1</v>
      </c>
      <c r="B35" s="624" t="str">
        <f>VLOOKUP(A35,Table1[],2,0)</f>
        <v>Indicator de impact</v>
      </c>
      <c r="C35" s="811" t="str">
        <f>VLOOKUP(A35,Table1[],4,0)</f>
        <v>TB I-3(M): Rata mortalităţii  - Numărul estimat de decese cauzate de TB (toate formele) pe an, la 100,000 persoane</v>
      </c>
      <c r="D35" s="811"/>
      <c r="E35" s="811"/>
      <c r="F35" s="596">
        <f t="shared" ref="F35:F58" si="0">HLOOKUP($R$3,Indicatori,A35*2,0)</f>
        <v>7.7</v>
      </c>
      <c r="G35" s="596">
        <f t="shared" ref="G35:G58" si="1">HLOOKUP($R$3,Indicatori,A35*2+1,0)</f>
        <v>7.9</v>
      </c>
      <c r="H35" s="812">
        <f>+IF(ISERROR(G35/F35),0,F35/G35)</f>
        <v>0.97468354430379744</v>
      </c>
      <c r="I35" s="813"/>
      <c r="J35" s="813"/>
      <c r="K35" s="813"/>
      <c r="L35" s="814"/>
      <c r="M35" s="817" t="s">
        <v>509</v>
      </c>
      <c r="N35" s="827"/>
      <c r="O35" s="827"/>
      <c r="P35" s="827"/>
      <c r="Q35" s="827"/>
      <c r="R35" s="828"/>
      <c r="S35" s="597"/>
      <c r="T35" s="598" t="s">
        <v>54</v>
      </c>
      <c r="U35" s="599">
        <v>0.3</v>
      </c>
      <c r="V35" s="600">
        <v>0.6</v>
      </c>
      <c r="W35" s="600">
        <v>0.9</v>
      </c>
      <c r="X35" s="600">
        <v>1</v>
      </c>
      <c r="Y35" s="600">
        <v>2</v>
      </c>
      <c r="Z35" s="601"/>
      <c r="AA35" s="601"/>
      <c r="AB35" s="598" t="s">
        <v>54</v>
      </c>
      <c r="AC35" s="599">
        <v>0.2</v>
      </c>
      <c r="AD35" s="600">
        <v>0.4</v>
      </c>
      <c r="AE35" s="600">
        <v>0.6</v>
      </c>
      <c r="AF35" s="600">
        <v>0.8</v>
      </c>
      <c r="AG35" s="600">
        <v>1</v>
      </c>
      <c r="AH35" s="601"/>
      <c r="AI35" s="601"/>
      <c r="AJ35" s="601"/>
      <c r="AK35" s="602"/>
      <c r="AL35" s="602"/>
    </row>
    <row r="36" spans="1:38" s="530" customFormat="1" ht="78" customHeight="1">
      <c r="A36" s="595">
        <v>2</v>
      </c>
      <c r="B36" s="624" t="str">
        <f>VLOOKUP(A36,Table1[],2,0)</f>
        <v>Indicator de impact</v>
      </c>
      <c r="C36" s="811" t="str">
        <f>VLOOKUP(A36,Table1[],4,0)</f>
        <v xml:space="preserve">TB I-4(M): Prevalența TB MDR printre cazurile noi de tuberculoză </v>
      </c>
      <c r="D36" s="811"/>
      <c r="E36" s="811"/>
      <c r="F36" s="603">
        <f t="shared" si="0"/>
        <v>0.23</v>
      </c>
      <c r="G36" s="603">
        <f t="shared" si="1"/>
        <v>0.26900000000000002</v>
      </c>
      <c r="H36" s="812">
        <f>+IF(ISERROR(F36/G36),0,F36/G36)</f>
        <v>0.85501858736059477</v>
      </c>
      <c r="I36" s="813"/>
      <c r="J36" s="813"/>
      <c r="K36" s="813"/>
      <c r="L36" s="814"/>
      <c r="M36" s="817" t="s">
        <v>511</v>
      </c>
      <c r="N36" s="829"/>
      <c r="O36" s="829"/>
      <c r="P36" s="829"/>
      <c r="Q36" s="829"/>
      <c r="R36" s="830"/>
      <c r="S36" s="597"/>
      <c r="T36" s="604"/>
      <c r="U36" s="605" t="str">
        <f>"de "&amp;U34&amp;" a "&amp;U35</f>
        <v>de 0 a 0,3</v>
      </c>
      <c r="V36" s="605" t="str">
        <f>"de "&amp;V34&amp;" a "&amp;V35</f>
        <v>de 0,3 a 0,6</v>
      </c>
      <c r="W36" s="605" t="str">
        <f>"de "&amp;W34&amp;" a "&amp;W35</f>
        <v>de 0,6 a 0,9</v>
      </c>
      <c r="X36" s="605" t="str">
        <f>"de "&amp;X34&amp;" a "&amp;X35</f>
        <v>de 0,9 a 1</v>
      </c>
      <c r="Y36" s="605" t="str">
        <f>"de "&amp;Y34&amp;" a "&amp;Y35</f>
        <v>de 1 a 2</v>
      </c>
      <c r="Z36" s="601"/>
      <c r="AA36" s="601" t="s">
        <v>213</v>
      </c>
      <c r="AB36" s="604" t="s">
        <v>212</v>
      </c>
      <c r="AC36" s="605" t="str">
        <f>"de "&amp;AC34&amp;" a "&amp;AC35</f>
        <v>de 0 a 0,2</v>
      </c>
      <c r="AD36" s="605" t="str">
        <f>"de "&amp;AD34&amp;" a "&amp;AD35</f>
        <v>de 0,2 a 0,4</v>
      </c>
      <c r="AE36" s="605" t="str">
        <f>"de "&amp;AE34&amp;" a "&amp;AE35</f>
        <v>de 0,4 a 0,6</v>
      </c>
      <c r="AF36" s="605" t="str">
        <f>"de "&amp;AF34&amp;" a "&amp;AF35</f>
        <v>de 0,6 a 0,8</v>
      </c>
      <c r="AG36" s="605" t="str">
        <f>"de "&amp;AG34&amp;" a "&amp;AG35</f>
        <v>de 0,8 a 1</v>
      </c>
      <c r="AH36" s="601"/>
      <c r="AI36" s="601"/>
      <c r="AJ36" s="601"/>
      <c r="AK36" s="602"/>
      <c r="AL36" s="602"/>
    </row>
    <row r="37" spans="1:38" s="530" customFormat="1" ht="142.5" customHeight="1">
      <c r="A37" s="595">
        <v>3</v>
      </c>
      <c r="B37" s="624" t="str">
        <f>VLOOKUP(A37,Table1[],2,0)</f>
        <v>Indicator de impact</v>
      </c>
      <c r="C37" s="811" t="str">
        <f>VLOOKUP(A37,Table1[],4,0)</f>
        <v>HIV I-4: Mortalitatea asociată cu SIDA la 100,000 populaţie</v>
      </c>
      <c r="D37" s="811"/>
      <c r="E37" s="811"/>
      <c r="F37" s="648">
        <f t="shared" si="0"/>
        <v>3.7</v>
      </c>
      <c r="G37" s="648">
        <f t="shared" si="1"/>
        <v>3.9</v>
      </c>
      <c r="H37" s="812">
        <f>+IF(ISERROR(G37/F37),0,F37/G37)</f>
        <v>0.94871794871794879</v>
      </c>
      <c r="I37" s="813"/>
      <c r="J37" s="813"/>
      <c r="K37" s="813"/>
      <c r="L37" s="814"/>
      <c r="M37" s="817" t="s">
        <v>514</v>
      </c>
      <c r="N37" s="818"/>
      <c r="O37" s="818"/>
      <c r="P37" s="818"/>
      <c r="Q37" s="818"/>
      <c r="R37" s="819"/>
      <c r="S37" s="597"/>
      <c r="T37" s="604"/>
      <c r="U37" s="600" t="e">
        <f t="shared" ref="U37:X53" si="2">IF($L35&gt;U$34,IF($L35&lt;=U$35,$L35,NA()),NA())</f>
        <v>#N/A</v>
      </c>
      <c r="V37" s="600" t="e">
        <f t="shared" si="2"/>
        <v>#N/A</v>
      </c>
      <c r="W37" s="600" t="e">
        <f t="shared" si="2"/>
        <v>#N/A</v>
      </c>
      <c r="X37" s="600" t="e">
        <f t="shared" si="2"/>
        <v>#N/A</v>
      </c>
      <c r="Y37" s="600" t="e">
        <f>IF($L35&gt;Y$34,IF($L35&lt;=Y$35,1,NA()),NA())</f>
        <v>#N/A</v>
      </c>
      <c r="Z37" s="601"/>
      <c r="AA37" s="606" t="e">
        <f>+'Detail despre Grant'!#REF!</f>
        <v>#REF!</v>
      </c>
      <c r="AB37" s="600" t="e">
        <f>+IF(AA37="A1",1,IF(AA37="A2",0.8,IF(AA37="B1",0.6,IF(AA37="B2",0.4,0.2))))</f>
        <v>#REF!</v>
      </c>
      <c r="AC37" s="600" t="e">
        <f>IF($AB37&gt;AC$34,IF($AB37&lt;=AC$35,$AB37,NA()),NA())</f>
        <v>#REF!</v>
      </c>
      <c r="AD37" s="600" t="e">
        <f t="shared" ref="AD37:AG47" si="3">IF($AB37&gt;AD$34,IF($AB37&lt;=AD$35,$AB37,NA()),NA())</f>
        <v>#REF!</v>
      </c>
      <c r="AE37" s="600" t="e">
        <f t="shared" si="3"/>
        <v>#REF!</v>
      </c>
      <c r="AF37" s="600" t="e">
        <f t="shared" si="3"/>
        <v>#REF!</v>
      </c>
      <c r="AG37" s="600" t="e">
        <f t="shared" si="3"/>
        <v>#REF!</v>
      </c>
      <c r="AH37" s="601"/>
      <c r="AI37" s="601"/>
      <c r="AJ37" s="601"/>
      <c r="AK37" s="602"/>
      <c r="AL37" s="602"/>
    </row>
    <row r="38" spans="1:38" s="530" customFormat="1" ht="43.5" customHeight="1">
      <c r="A38" s="595">
        <v>4</v>
      </c>
      <c r="B38" s="624" t="str">
        <f>VLOOKUP(A38,Table1[],2,0)</f>
        <v>Indicator de impact</v>
      </c>
      <c r="C38" s="811" t="str">
        <f>VLOOKUP(A38,Table1[],4,0)</f>
        <v xml:space="preserve">HIV I-9a (M): Procentul BSB care trăiesc cu HIV </v>
      </c>
      <c r="D38" s="811"/>
      <c r="E38" s="811"/>
      <c r="F38" s="603" t="str">
        <f t="shared" si="0"/>
        <v>n/a</v>
      </c>
      <c r="G38" s="603" t="str">
        <f t="shared" si="1"/>
        <v>n/a</v>
      </c>
      <c r="H38" s="812">
        <f>+IF(ISERROR(F38/G38),0,G38/F38)</f>
        <v>0</v>
      </c>
      <c r="I38" s="813"/>
      <c r="J38" s="813"/>
      <c r="K38" s="813"/>
      <c r="L38" s="814"/>
      <c r="M38" s="817" t="s">
        <v>518</v>
      </c>
      <c r="N38" s="818"/>
      <c r="O38" s="818"/>
      <c r="P38" s="818"/>
      <c r="Q38" s="818"/>
      <c r="R38" s="819"/>
      <c r="S38" s="597"/>
      <c r="T38" s="604"/>
      <c r="U38" s="600"/>
      <c r="V38" s="600"/>
      <c r="W38" s="600"/>
      <c r="X38" s="600"/>
      <c r="Y38" s="600"/>
      <c r="Z38" s="601"/>
      <c r="AA38" s="606"/>
      <c r="AB38" s="600"/>
      <c r="AC38" s="600"/>
      <c r="AD38" s="600"/>
      <c r="AE38" s="600"/>
      <c r="AF38" s="600"/>
      <c r="AG38" s="600"/>
      <c r="AH38" s="601"/>
      <c r="AI38" s="601"/>
      <c r="AJ38" s="601"/>
      <c r="AK38" s="602"/>
      <c r="AL38" s="602"/>
    </row>
    <row r="39" spans="1:38" s="530" customFormat="1" ht="43.5" customHeight="1">
      <c r="A39" s="595">
        <v>5</v>
      </c>
      <c r="B39" s="624" t="str">
        <f>VLOOKUP(A39,Table1[],2,0)</f>
        <v>Indicator de impact</v>
      </c>
      <c r="C39" s="811" t="str">
        <f>VLOOKUP(A39,Table1[],4,0)</f>
        <v>HIV I-10 (M): Procentul LSC care trăiesc cu HIV</v>
      </c>
      <c r="D39" s="811"/>
      <c r="E39" s="811"/>
      <c r="F39" s="603" t="str">
        <f t="shared" si="0"/>
        <v>n/a</v>
      </c>
      <c r="G39" s="603" t="str">
        <f t="shared" si="1"/>
        <v>n/a</v>
      </c>
      <c r="H39" s="812">
        <f t="shared" ref="H39:H45" si="4">+IF(ISERROR(F39/G39),0,G39/F39)</f>
        <v>0</v>
      </c>
      <c r="I39" s="813"/>
      <c r="J39" s="813"/>
      <c r="K39" s="813"/>
      <c r="L39" s="814"/>
      <c r="M39" s="817" t="s">
        <v>518</v>
      </c>
      <c r="N39" s="818"/>
      <c r="O39" s="818"/>
      <c r="P39" s="818"/>
      <c r="Q39" s="818"/>
      <c r="R39" s="819"/>
      <c r="S39" s="597"/>
      <c r="T39" s="604"/>
      <c r="U39" s="600"/>
      <c r="V39" s="600"/>
      <c r="W39" s="600"/>
      <c r="X39" s="600"/>
      <c r="Y39" s="600"/>
      <c r="Z39" s="601"/>
      <c r="AA39" s="606"/>
      <c r="AB39" s="600"/>
      <c r="AC39" s="600"/>
      <c r="AD39" s="600"/>
      <c r="AE39" s="600"/>
      <c r="AF39" s="600"/>
      <c r="AG39" s="600"/>
      <c r="AH39" s="601"/>
      <c r="AI39" s="601"/>
      <c r="AJ39" s="601"/>
      <c r="AK39" s="602"/>
      <c r="AL39" s="602"/>
    </row>
    <row r="40" spans="1:38" s="530" customFormat="1" ht="43.5" customHeight="1">
      <c r="A40" s="595">
        <v>6</v>
      </c>
      <c r="B40" s="624" t="str">
        <f>VLOOKUP(A40,Table1[],2,0)</f>
        <v>Indicator de impact</v>
      </c>
      <c r="C40" s="811" t="str">
        <f>VLOOKUP(A40,Table1[],4,0)</f>
        <v>HIV I-11 (M): Procentul consumatorilor de droguri injectabile care trăiesc cu HIV</v>
      </c>
      <c r="D40" s="811"/>
      <c r="E40" s="811"/>
      <c r="F40" s="603" t="str">
        <f t="shared" si="0"/>
        <v>n/a</v>
      </c>
      <c r="G40" s="603" t="str">
        <f t="shared" si="1"/>
        <v>n/a</v>
      </c>
      <c r="H40" s="812">
        <f t="shared" si="4"/>
        <v>0</v>
      </c>
      <c r="I40" s="813"/>
      <c r="J40" s="813"/>
      <c r="K40" s="813"/>
      <c r="L40" s="814"/>
      <c r="M40" s="817" t="s">
        <v>518</v>
      </c>
      <c r="N40" s="818"/>
      <c r="O40" s="818"/>
      <c r="P40" s="818"/>
      <c r="Q40" s="818"/>
      <c r="R40" s="819"/>
      <c r="S40" s="597"/>
      <c r="T40" s="604"/>
      <c r="U40" s="600"/>
      <c r="V40" s="600"/>
      <c r="W40" s="600"/>
      <c r="X40" s="600"/>
      <c r="Y40" s="600"/>
      <c r="Z40" s="601"/>
      <c r="AA40" s="606"/>
      <c r="AB40" s="600"/>
      <c r="AC40" s="600"/>
      <c r="AD40" s="600"/>
      <c r="AE40" s="600"/>
      <c r="AF40" s="600"/>
      <c r="AG40" s="600"/>
      <c r="AH40" s="601"/>
      <c r="AI40" s="601"/>
      <c r="AJ40" s="601"/>
      <c r="AK40" s="602"/>
      <c r="AL40" s="602"/>
    </row>
    <row r="41" spans="1:38" s="530" customFormat="1" ht="66" customHeight="1">
      <c r="A41" s="595">
        <v>7</v>
      </c>
      <c r="B41" s="624" t="str">
        <f>VLOOKUP(A41,Table1[],2,0)</f>
        <v>Indicator de rezultat</v>
      </c>
      <c r="C41" s="811" t="str">
        <f>VLOOKUP(A41,Table1[],4,0)</f>
        <v xml:space="preserve">TB O-4(M): Rata succesului tratamentului pacienților cu RR TB și/sau MDR-TB </v>
      </c>
      <c r="D41" s="811"/>
      <c r="E41" s="811"/>
      <c r="F41" s="607">
        <f t="shared" si="0"/>
        <v>0.72009999999999996</v>
      </c>
      <c r="G41" s="607">
        <f t="shared" si="1"/>
        <v>0.55330000000000001</v>
      </c>
      <c r="H41" s="812">
        <f>+IF(ISERROR(F41/G41),0,G41/F41)</f>
        <v>0.7683655047910013</v>
      </c>
      <c r="I41" s="813"/>
      <c r="J41" s="813"/>
      <c r="K41" s="813"/>
      <c r="L41" s="814"/>
      <c r="M41" s="817" t="s">
        <v>515</v>
      </c>
      <c r="N41" s="818"/>
      <c r="O41" s="818"/>
      <c r="P41" s="818"/>
      <c r="Q41" s="818"/>
      <c r="R41" s="819"/>
      <c r="S41" s="597"/>
      <c r="T41" s="608"/>
      <c r="U41" s="600"/>
      <c r="V41" s="600"/>
      <c r="W41" s="600"/>
      <c r="X41" s="600"/>
      <c r="Y41" s="600"/>
      <c r="Z41" s="601"/>
      <c r="AA41" s="606"/>
      <c r="AB41" s="600"/>
      <c r="AC41" s="600"/>
      <c r="AD41" s="600"/>
      <c r="AE41" s="600"/>
      <c r="AF41" s="600"/>
      <c r="AG41" s="609"/>
      <c r="AH41" s="610"/>
      <c r="AI41" s="610"/>
      <c r="AJ41" s="610"/>
    </row>
    <row r="42" spans="1:38" s="530" customFormat="1" ht="128.25" customHeight="1">
      <c r="A42" s="595">
        <v>8</v>
      </c>
      <c r="B42" s="624" t="str">
        <f>VLOOKUP(A42,Table1[],2,0)</f>
        <v>Indicator de rezultat</v>
      </c>
      <c r="C42" s="811" t="str">
        <f>VLOOKUP(A42,Table1[],4,0)</f>
        <v>TB O-1a: Rata de notificare a cazurilor de tuberculoză (toate formele) per 100,000 populație</v>
      </c>
      <c r="D42" s="811"/>
      <c r="E42" s="811"/>
      <c r="F42" s="596">
        <f t="shared" si="0"/>
        <v>94.6</v>
      </c>
      <c r="G42" s="596">
        <f t="shared" si="1"/>
        <v>92.7</v>
      </c>
      <c r="H42" s="812">
        <f>+IF(ISERROR(G42/F42),0,F42/G42)</f>
        <v>1.0204962243797195</v>
      </c>
      <c r="I42" s="813"/>
      <c r="J42" s="813"/>
      <c r="K42" s="813"/>
      <c r="L42" s="814"/>
      <c r="M42" s="841" t="s">
        <v>516</v>
      </c>
      <c r="N42" s="818"/>
      <c r="O42" s="818"/>
      <c r="P42" s="818"/>
      <c r="Q42" s="818"/>
      <c r="R42" s="819"/>
      <c r="S42" s="597"/>
      <c r="T42" s="608"/>
      <c r="U42" s="600"/>
      <c r="V42" s="600"/>
      <c r="W42" s="600"/>
      <c r="X42" s="600"/>
      <c r="Y42" s="600"/>
      <c r="Z42" s="601"/>
      <c r="AA42" s="606"/>
      <c r="AB42" s="600"/>
      <c r="AC42" s="600"/>
      <c r="AD42" s="600"/>
      <c r="AE42" s="600"/>
      <c r="AF42" s="600"/>
      <c r="AG42" s="609"/>
      <c r="AH42" s="610"/>
      <c r="AI42" s="610"/>
      <c r="AJ42" s="610"/>
    </row>
    <row r="43" spans="1:38" s="530" customFormat="1" ht="91.5" customHeight="1">
      <c r="A43" s="595">
        <v>9</v>
      </c>
      <c r="B43" s="624" t="str">
        <f>VLOOKUP(A43,Table1[],2,0)</f>
        <v>Indicator de rezultat</v>
      </c>
      <c r="C43" s="811" t="str">
        <f>VLOOKUP(A43,Table1[],4,0)</f>
        <v>TB O-5(M): Rata de acoperire cu tratament antituberculos</v>
      </c>
      <c r="D43" s="811"/>
      <c r="E43" s="811"/>
      <c r="F43" s="607">
        <f t="shared" si="0"/>
        <v>0.89</v>
      </c>
      <c r="G43" s="607">
        <f t="shared" si="1"/>
        <v>0.79300000000000004</v>
      </c>
      <c r="H43" s="812">
        <f t="shared" si="4"/>
        <v>0.89101123595505616</v>
      </c>
      <c r="I43" s="813"/>
      <c r="J43" s="813"/>
      <c r="K43" s="813"/>
      <c r="L43" s="814"/>
      <c r="M43" s="817" t="s">
        <v>517</v>
      </c>
      <c r="N43" s="818"/>
      <c r="O43" s="818"/>
      <c r="P43" s="818"/>
      <c r="Q43" s="818"/>
      <c r="R43" s="819"/>
      <c r="S43" s="597"/>
      <c r="T43" s="608"/>
      <c r="U43" s="600"/>
      <c r="V43" s="600"/>
      <c r="W43" s="600"/>
      <c r="X43" s="600"/>
      <c r="Y43" s="600"/>
      <c r="Z43" s="601"/>
      <c r="AA43" s="606"/>
      <c r="AB43" s="600"/>
      <c r="AC43" s="600"/>
      <c r="AD43" s="600"/>
      <c r="AE43" s="600"/>
      <c r="AF43" s="600"/>
      <c r="AG43" s="609"/>
      <c r="AH43" s="610"/>
      <c r="AI43" s="610"/>
      <c r="AJ43" s="610"/>
    </row>
    <row r="44" spans="1:38" s="530" customFormat="1" ht="140.25" customHeight="1">
      <c r="A44" s="595">
        <v>10</v>
      </c>
      <c r="B44" s="624" t="str">
        <f>VLOOKUP(A44,Table1[],2,0)</f>
        <v>Indicator de rezultat</v>
      </c>
      <c r="C44" s="811" t="str">
        <f>VLOOKUP(A44,Table1[],4,0)</f>
        <v xml:space="preserve">HIV O-1 (M): Procentul adulţilor şi copiilor HIV infectaţi care se află în tratament 12 luni după iniţierea tratamentului antiretroviral </v>
      </c>
      <c r="D44" s="811"/>
      <c r="E44" s="811"/>
      <c r="F44" s="607">
        <f t="shared" si="0"/>
        <v>0.85</v>
      </c>
      <c r="G44" s="607">
        <f t="shared" si="1"/>
        <v>0.85199999999999998</v>
      </c>
      <c r="H44" s="812">
        <f t="shared" si="4"/>
        <v>1.0023529411764707</v>
      </c>
      <c r="I44" s="813"/>
      <c r="J44" s="813"/>
      <c r="K44" s="813"/>
      <c r="L44" s="814"/>
      <c r="M44" s="817" t="s">
        <v>519</v>
      </c>
      <c r="N44" s="818"/>
      <c r="O44" s="818"/>
      <c r="P44" s="818"/>
      <c r="Q44" s="818"/>
      <c r="R44" s="819"/>
      <c r="S44" s="597"/>
      <c r="T44" s="608"/>
      <c r="U44" s="600"/>
      <c r="V44" s="600"/>
      <c r="W44" s="600"/>
      <c r="X44" s="600"/>
      <c r="Y44" s="600"/>
      <c r="Z44" s="601"/>
      <c r="AA44" s="606"/>
      <c r="AB44" s="600"/>
      <c r="AC44" s="600"/>
      <c r="AD44" s="600"/>
      <c r="AE44" s="600"/>
      <c r="AF44" s="600"/>
      <c r="AG44" s="609"/>
      <c r="AH44" s="610"/>
      <c r="AI44" s="610"/>
      <c r="AJ44" s="610"/>
    </row>
    <row r="45" spans="1:38" s="530" customFormat="1" ht="43.5" customHeight="1">
      <c r="A45" s="595">
        <v>11</v>
      </c>
      <c r="B45" s="624" t="str">
        <f>VLOOKUP(A45,Table1[],2,0)</f>
        <v>Indicator de rezultat</v>
      </c>
      <c r="C45" s="811" t="str">
        <f>VLOOKUP(A45,Table1[],4,0)</f>
        <v>HIV O-4a (M): Procentul BSB care raportează utilizarea prezervativului în timpul ultimului act de sex anal cu partenerul de gen masculin</v>
      </c>
      <c r="D45" s="811"/>
      <c r="E45" s="811"/>
      <c r="F45" s="607" t="str">
        <f t="shared" si="0"/>
        <v>n/a</v>
      </c>
      <c r="G45" s="607" t="str">
        <f t="shared" si="1"/>
        <v>n/a</v>
      </c>
      <c r="H45" s="812">
        <f t="shared" si="4"/>
        <v>0</v>
      </c>
      <c r="I45" s="813"/>
      <c r="J45" s="813"/>
      <c r="K45" s="813"/>
      <c r="L45" s="814"/>
      <c r="M45" s="817" t="s">
        <v>518</v>
      </c>
      <c r="N45" s="818"/>
      <c r="O45" s="818"/>
      <c r="P45" s="818"/>
      <c r="Q45" s="818"/>
      <c r="R45" s="819"/>
      <c r="S45" s="597"/>
      <c r="T45" s="608"/>
      <c r="U45" s="600"/>
      <c r="V45" s="600"/>
      <c r="W45" s="600"/>
      <c r="X45" s="600"/>
      <c r="Y45" s="600"/>
      <c r="Z45" s="601"/>
      <c r="AA45" s="606"/>
      <c r="AB45" s="600"/>
      <c r="AC45" s="600"/>
      <c r="AD45" s="600"/>
      <c r="AE45" s="600"/>
      <c r="AF45" s="600"/>
      <c r="AG45" s="609"/>
      <c r="AH45" s="610"/>
      <c r="AI45" s="610"/>
      <c r="AJ45" s="610"/>
    </row>
    <row r="46" spans="1:38" s="530" customFormat="1" ht="43.5" customHeight="1">
      <c r="A46" s="595">
        <v>12</v>
      </c>
      <c r="B46" s="624" t="str">
        <f>VLOOKUP(A46,Table1[],2,0)</f>
        <v>Indicator de rezultat</v>
      </c>
      <c r="C46" s="811" t="str">
        <f>VLOOKUP(A46,Table1[],4,0)</f>
        <v>HIV O-5 (M): Procentul LSC care raportează utilizarea prezervativului cu ultimul lor client</v>
      </c>
      <c r="D46" s="811"/>
      <c r="E46" s="811"/>
      <c r="F46" s="607" t="str">
        <f t="shared" si="0"/>
        <v>n/a</v>
      </c>
      <c r="G46" s="607" t="str">
        <f t="shared" si="1"/>
        <v>n/a</v>
      </c>
      <c r="H46" s="812">
        <f>+IF(ISERROR(G46/F46),0,G46/F46)</f>
        <v>0</v>
      </c>
      <c r="I46" s="813"/>
      <c r="J46" s="813"/>
      <c r="K46" s="813"/>
      <c r="L46" s="814"/>
      <c r="M46" s="817" t="s">
        <v>518</v>
      </c>
      <c r="N46" s="818"/>
      <c r="O46" s="818"/>
      <c r="P46" s="818"/>
      <c r="Q46" s="818"/>
      <c r="R46" s="819"/>
      <c r="S46" s="597"/>
      <c r="T46" s="608"/>
      <c r="U46" s="600" t="e">
        <f t="shared" ref="U46:X47" si="5">IF($L36&gt;U$34,IF($L36&lt;=U$35,$L36,NA()),NA())</f>
        <v>#N/A</v>
      </c>
      <c r="V46" s="600" t="e">
        <f t="shared" si="5"/>
        <v>#N/A</v>
      </c>
      <c r="W46" s="600" t="e">
        <f t="shared" si="5"/>
        <v>#N/A</v>
      </c>
      <c r="X46" s="600" t="e">
        <f t="shared" si="5"/>
        <v>#N/A</v>
      </c>
      <c r="Y46" s="600" t="e">
        <f>IF($L36&gt;Y$34,IF($L36&lt;=Y$35,1,1),NA())</f>
        <v>#N/A</v>
      </c>
      <c r="Z46" s="601"/>
      <c r="AA46" s="606" t="e">
        <f>+'Detail despre Grant'!#REF!</f>
        <v>#REF!</v>
      </c>
      <c r="AB46" s="600" t="e">
        <f>+IF(AA46="A1",1,IF(AA46="A2",0.8,IF(AA46="B1",0.6,IF(AA46="B2",0.4,0.2))))</f>
        <v>#REF!</v>
      </c>
      <c r="AC46" s="600" t="e">
        <f>IF($AB46&gt;AC$34,IF($AB46&lt;=AC$35,$AB46,NA()),NA())</f>
        <v>#REF!</v>
      </c>
      <c r="AD46" s="600" t="e">
        <f t="shared" si="3"/>
        <v>#REF!</v>
      </c>
      <c r="AE46" s="600" t="e">
        <f t="shared" si="3"/>
        <v>#REF!</v>
      </c>
      <c r="AF46" s="600" t="e">
        <f t="shared" si="3"/>
        <v>#REF!</v>
      </c>
      <c r="AG46" s="609" t="e">
        <f t="shared" si="3"/>
        <v>#REF!</v>
      </c>
      <c r="AH46" s="610"/>
      <c r="AI46" s="610"/>
      <c r="AJ46" s="610"/>
    </row>
    <row r="47" spans="1:38" s="530" customFormat="1" ht="66.75" customHeight="1">
      <c r="A47" s="595">
        <v>13</v>
      </c>
      <c r="B47" s="624" t="str">
        <f>VLOOKUP(A47,Table1[],2,0)</f>
        <v>Indicator de rezultat</v>
      </c>
      <c r="C47" s="811" t="str">
        <f>VLOOKUP(A47,Table1[],4,0)</f>
        <v>HIV O-6 (M): Procentul consumatorilor de droguri injectabile care raportează utilizarea setului pentru injectare steril la ultima injectare</v>
      </c>
      <c r="D47" s="811"/>
      <c r="E47" s="811"/>
      <c r="F47" s="607" t="str">
        <f t="shared" si="0"/>
        <v>n/a</v>
      </c>
      <c r="G47" s="607" t="str">
        <f t="shared" si="1"/>
        <v>n/a</v>
      </c>
      <c r="H47" s="812">
        <f>+IF(ISERROR(G47/F47),0,G47/F47)</f>
        <v>0</v>
      </c>
      <c r="I47" s="813"/>
      <c r="J47" s="813"/>
      <c r="K47" s="813"/>
      <c r="L47" s="814"/>
      <c r="M47" s="817" t="s">
        <v>518</v>
      </c>
      <c r="N47" s="818"/>
      <c r="O47" s="818"/>
      <c r="P47" s="818"/>
      <c r="Q47" s="818"/>
      <c r="R47" s="819"/>
      <c r="S47" s="597"/>
      <c r="T47" s="608"/>
      <c r="U47" s="600" t="e">
        <f t="shared" si="5"/>
        <v>#N/A</v>
      </c>
      <c r="V47" s="600" t="e">
        <f t="shared" si="5"/>
        <v>#N/A</v>
      </c>
      <c r="W47" s="600" t="e">
        <f t="shared" si="5"/>
        <v>#N/A</v>
      </c>
      <c r="X47" s="600" t="e">
        <f t="shared" si="5"/>
        <v>#N/A</v>
      </c>
      <c r="Y47" s="600" t="e">
        <f>IF($L37&gt;Y$34,IF($L37&lt;=Y$35,1,NA()),NA())</f>
        <v>#N/A</v>
      </c>
      <c r="Z47" s="601"/>
      <c r="AA47" s="606" t="e">
        <f>+'Detail despre Grant'!#REF!</f>
        <v>#REF!</v>
      </c>
      <c r="AB47" s="600" t="e">
        <f>+IF(AA47="A1",1,IF(AA47="A2",0.8,IF(AA47="B1",0.6,IF(AA47="B2",0.4,0.2))))</f>
        <v>#REF!</v>
      </c>
      <c r="AC47" s="600" t="e">
        <f>IF($AB47&gt;AC$34,IF($AB47&lt;=AC$35,$AB47,NA()),NA())</f>
        <v>#REF!</v>
      </c>
      <c r="AD47" s="600" t="e">
        <f t="shared" si="3"/>
        <v>#REF!</v>
      </c>
      <c r="AE47" s="600" t="e">
        <f t="shared" si="3"/>
        <v>#REF!</v>
      </c>
      <c r="AF47" s="600" t="e">
        <f t="shared" si="3"/>
        <v>#REF!</v>
      </c>
      <c r="AG47" s="609" t="e">
        <f t="shared" si="3"/>
        <v>#REF!</v>
      </c>
      <c r="AH47" s="610"/>
      <c r="AI47" s="610"/>
      <c r="AJ47" s="610"/>
    </row>
    <row r="48" spans="1:38" s="530" customFormat="1" ht="43.5" customHeight="1">
      <c r="A48" s="595">
        <v>14</v>
      </c>
      <c r="B48" s="624" t="str">
        <f>VLOOKUP(A48,Table1[],2,0)</f>
        <v>Indicator de proces</v>
      </c>
      <c r="C48" s="811" t="str">
        <f>VLOOKUP(A48,Table1[],4,0)</f>
        <v>MDR TB-2(M): Numărul cazurilor de TB DR (RR-TB și/sau MDR-TB), confirmate bacteriologic, notificate</v>
      </c>
      <c r="D48" s="811"/>
      <c r="E48" s="811"/>
      <c r="F48" s="596">
        <f t="shared" si="0"/>
        <v>504</v>
      </c>
      <c r="G48" s="596">
        <f t="shared" si="1"/>
        <v>220</v>
      </c>
      <c r="H48" s="812">
        <f>+IF(ISERROR(G48/F48),0,G48/F48)</f>
        <v>0.43650793650793651</v>
      </c>
      <c r="I48" s="813"/>
      <c r="J48" s="813"/>
      <c r="K48" s="813"/>
      <c r="L48" s="814"/>
      <c r="M48" s="815" t="s">
        <v>520</v>
      </c>
      <c r="N48" s="816"/>
      <c r="O48" s="816"/>
      <c r="P48" s="816"/>
      <c r="Q48" s="816"/>
      <c r="R48" s="816"/>
      <c r="S48" s="597"/>
      <c r="T48" s="608"/>
      <c r="U48" s="600"/>
      <c r="V48" s="600"/>
      <c r="W48" s="600"/>
      <c r="X48" s="600"/>
      <c r="Y48" s="600"/>
      <c r="Z48" s="601"/>
      <c r="AA48" s="601"/>
      <c r="AB48" s="601"/>
      <c r="AC48" s="601"/>
      <c r="AD48" s="601"/>
      <c r="AE48" s="601"/>
      <c r="AF48" s="601"/>
      <c r="AG48" s="611"/>
      <c r="AH48" s="610"/>
      <c r="AI48" s="610"/>
      <c r="AJ48" s="610"/>
    </row>
    <row r="49" spans="1:36" s="530" customFormat="1" ht="72" customHeight="1">
      <c r="A49" s="595">
        <v>15</v>
      </c>
      <c r="B49" s="624" t="str">
        <f>VLOOKUP(A49,Table1[],2,0)</f>
        <v>Indicator de proces</v>
      </c>
      <c r="C49" s="811" t="str">
        <f>VLOOKUP(A49,Table1[],4,0)</f>
        <v xml:space="preserve">MDR TB-3(M): Numărul cazurilor cu tuberculoză drog-rezistentă (RR-TB și/sau MDR-TB), confirmate bacteriologic, care au demarat tratamentul DOTS-Plus în perioada raportată                </v>
      </c>
      <c r="D49" s="811"/>
      <c r="E49" s="811"/>
      <c r="F49" s="596">
        <f t="shared" si="0"/>
        <v>491</v>
      </c>
      <c r="G49" s="596">
        <f t="shared" si="1"/>
        <v>307</v>
      </c>
      <c r="H49" s="812">
        <f>+IF(ISERROR(G49/F49),0,G49/F49)</f>
        <v>0.6252545824847251</v>
      </c>
      <c r="I49" s="813"/>
      <c r="J49" s="813"/>
      <c r="K49" s="813"/>
      <c r="L49" s="814"/>
      <c r="M49" s="815" t="s">
        <v>521</v>
      </c>
      <c r="N49" s="816"/>
      <c r="O49" s="816"/>
      <c r="P49" s="816"/>
      <c r="Q49" s="816"/>
      <c r="R49" s="816"/>
      <c r="S49" s="597"/>
      <c r="T49" s="608"/>
      <c r="U49" s="600" t="e">
        <f>IF($L47&gt;U$34,IF($L47&lt;=U$35,$L47,NA()),NA())</f>
        <v>#N/A</v>
      </c>
      <c r="V49" s="600" t="e">
        <f>IF($L47&gt;V$34,IF($L47&lt;=V$35,$L47,NA()),NA())</f>
        <v>#N/A</v>
      </c>
      <c r="W49" s="600" t="e">
        <f>IF($L47&gt;W$34,IF($L47&lt;=W$35,$L47,NA()),NA())</f>
        <v>#N/A</v>
      </c>
      <c r="X49" s="600" t="e">
        <f>IF($L47&gt;X$34,IF($L47&lt;=X$35,$L47,NA()),NA())</f>
        <v>#N/A</v>
      </c>
      <c r="Y49" s="600" t="e">
        <f>IF($L47&gt;Y$34,IF($L47&lt;=Y$35,1,NA()),NA())</f>
        <v>#N/A</v>
      </c>
      <c r="Z49" s="601"/>
      <c r="AA49" s="601"/>
      <c r="AB49" s="601"/>
      <c r="AC49" s="601"/>
      <c r="AD49" s="601"/>
      <c r="AE49" s="601"/>
      <c r="AF49" s="601"/>
      <c r="AG49" s="611"/>
      <c r="AH49" s="610"/>
      <c r="AI49" s="610"/>
      <c r="AJ49" s="610"/>
    </row>
    <row r="50" spans="1:36" s="530" customFormat="1" ht="92.25" customHeight="1">
      <c r="A50" s="595">
        <v>16</v>
      </c>
      <c r="B50" s="624" t="str">
        <f>VLOOKUP(A50,Table1[],2,0)</f>
        <v>Indicator de proces</v>
      </c>
      <c r="C50" s="811" t="str">
        <f>VLOOKUP(A50,Table1[],4,0)</f>
        <v>MDR TB-4: Rezultatul interimar de abandon al tratamentului cazurilor MDR-TB</v>
      </c>
      <c r="D50" s="811"/>
      <c r="E50" s="811"/>
      <c r="F50" s="607">
        <f t="shared" si="0"/>
        <v>6.6000000000000003E-2</v>
      </c>
      <c r="G50" s="607">
        <f t="shared" si="1"/>
        <v>0.1205</v>
      </c>
      <c r="H50" s="812">
        <f>+IF(ISERROR(G50/F50),0,F50/G50)</f>
        <v>0.5477178423236515</v>
      </c>
      <c r="I50" s="813"/>
      <c r="J50" s="813"/>
      <c r="K50" s="813"/>
      <c r="L50" s="814"/>
      <c r="M50" s="815" t="s">
        <v>522</v>
      </c>
      <c r="N50" s="816"/>
      <c r="O50" s="816"/>
      <c r="P50" s="816"/>
      <c r="Q50" s="816"/>
      <c r="R50" s="816"/>
      <c r="S50" s="597"/>
      <c r="T50" s="608"/>
      <c r="U50" s="600" t="e">
        <f>IF(#REF!&gt;U$34,IF(#REF!&lt;=U$35,#REF!,NA()),NA())</f>
        <v>#REF!</v>
      </c>
      <c r="V50" s="600" t="e">
        <f>IF(#REF!&gt;V$34,IF(#REF!&lt;=V$35,#REF!,NA()),NA())</f>
        <v>#REF!</v>
      </c>
      <c r="W50" s="600" t="e">
        <f>IF(#REF!&gt;W$34,IF(#REF!&lt;=W$35,#REF!,NA()),NA())</f>
        <v>#REF!</v>
      </c>
      <c r="X50" s="600" t="e">
        <f>IF(#REF!&gt;X$34,IF(#REF!&lt;=X$35,#REF!,NA()),NA())</f>
        <v>#REF!</v>
      </c>
      <c r="Y50" s="600" t="e">
        <f>IF(#REF!&gt;Y$34,IF(#REF!&lt;=Y$35,1,NA()),NA())</f>
        <v>#REF!</v>
      </c>
      <c r="Z50" s="601"/>
      <c r="AA50" s="601"/>
      <c r="AB50" s="601"/>
      <c r="AC50" s="601"/>
      <c r="AD50" s="601"/>
      <c r="AE50" s="601"/>
      <c r="AF50" s="601"/>
      <c r="AG50" s="611"/>
      <c r="AH50" s="610"/>
      <c r="AI50" s="610"/>
      <c r="AJ50" s="610"/>
    </row>
    <row r="51" spans="1:36" s="530" customFormat="1" ht="43.5" customHeight="1">
      <c r="A51" s="595">
        <v>17</v>
      </c>
      <c r="B51" s="624" t="str">
        <f>VLOOKUP(A51,Table1[],2,0)</f>
        <v>Indicator de proces</v>
      </c>
      <c r="C51" s="811" t="str">
        <f>VLOOKUP(A51,Table1[],4,0)</f>
        <v>MDR TB-8: Numărul cazurilor de XDR TB incluși în tratament în perioada raportată</v>
      </c>
      <c r="D51" s="811"/>
      <c r="E51" s="811"/>
      <c r="F51" s="596" t="str">
        <f t="shared" si="0"/>
        <v>n/a</v>
      </c>
      <c r="G51" s="596" t="str">
        <f t="shared" si="1"/>
        <v>n/a</v>
      </c>
      <c r="H51" s="812">
        <f>+IF(ISERROR(F51/G51),0,G51/F51)</f>
        <v>0</v>
      </c>
      <c r="I51" s="813"/>
      <c r="J51" s="813"/>
      <c r="K51" s="813"/>
      <c r="L51" s="814"/>
      <c r="M51" s="817" t="s">
        <v>523</v>
      </c>
      <c r="N51" s="818"/>
      <c r="O51" s="818"/>
      <c r="P51" s="818"/>
      <c r="Q51" s="818"/>
      <c r="R51" s="819"/>
      <c r="S51" s="597"/>
      <c r="T51" s="608"/>
      <c r="U51" s="600" t="e">
        <f>IF(#REF!&gt;U$34,IF(#REF!&lt;=U$35,#REF!,NA()),NA())</f>
        <v>#REF!</v>
      </c>
      <c r="V51" s="600" t="e">
        <f>IF(#REF!&gt;V$34,IF(#REF!&lt;=V$35,#REF!,NA()),NA())</f>
        <v>#REF!</v>
      </c>
      <c r="W51" s="600" t="e">
        <f>IF(#REF!&gt;W$34,IF(#REF!&lt;=W$35,#REF!,NA()),NA())</f>
        <v>#REF!</v>
      </c>
      <c r="X51" s="600" t="e">
        <f>IF(#REF!&gt;X$34,IF(#REF!&lt;=X$35,#REF!,NA()),NA())</f>
        <v>#REF!</v>
      </c>
      <c r="Y51" s="600" t="e">
        <f>IF(#REF!&gt;Y$34,IF(#REF!&lt;=Y$35,1,NA()),NA())</f>
        <v>#REF!</v>
      </c>
      <c r="Z51" s="601"/>
      <c r="AA51" s="601"/>
      <c r="AB51" s="601"/>
      <c r="AC51" s="601"/>
      <c r="AD51" s="601"/>
      <c r="AE51" s="601"/>
      <c r="AF51" s="601"/>
      <c r="AG51" s="611"/>
      <c r="AH51" s="610"/>
      <c r="AI51" s="610"/>
      <c r="AJ51" s="610"/>
    </row>
    <row r="52" spans="1:36" s="530" customFormat="1" ht="68.25" customHeight="1">
      <c r="A52" s="595">
        <v>18</v>
      </c>
      <c r="B52" s="624" t="str">
        <f>VLOOKUP(A52,Table1[],2,0)</f>
        <v>Indicator de proces</v>
      </c>
      <c r="C52" s="811" t="str">
        <f>VLOOKUP(A52,Table1[],4,0)</f>
        <v xml:space="preserve">KP-1d(M): Procentul consumatorilor de droguri injectabile acoperiți de programele de prevenire HIV - pachet definit de servicii </v>
      </c>
      <c r="D52" s="811"/>
      <c r="E52" s="811"/>
      <c r="F52" s="607" t="str">
        <f t="shared" si="0"/>
        <v>n/a</v>
      </c>
      <c r="G52" s="607" t="str">
        <f t="shared" si="1"/>
        <v>n/a</v>
      </c>
      <c r="H52" s="812">
        <f t="shared" ref="H52:H58" si="6">+IF(ISERROR(F52/G52),0,G52/F52)</f>
        <v>0</v>
      </c>
      <c r="I52" s="813"/>
      <c r="J52" s="813"/>
      <c r="K52" s="813"/>
      <c r="L52" s="814"/>
      <c r="M52" s="815" t="s">
        <v>530</v>
      </c>
      <c r="N52" s="816"/>
      <c r="O52" s="816"/>
      <c r="P52" s="816"/>
      <c r="Q52" s="816"/>
      <c r="R52" s="816"/>
      <c r="S52" s="597"/>
      <c r="T52" s="608"/>
      <c r="U52" s="600" t="e">
        <f t="shared" si="2"/>
        <v>#N/A</v>
      </c>
      <c r="V52" s="600" t="e">
        <f t="shared" si="2"/>
        <v>#N/A</v>
      </c>
      <c r="W52" s="600" t="e">
        <f t="shared" si="2"/>
        <v>#N/A</v>
      </c>
      <c r="X52" s="600" t="e">
        <f t="shared" si="2"/>
        <v>#N/A</v>
      </c>
      <c r="Y52" s="600" t="e">
        <f t="shared" ref="Y52:Y53" si="7">IF($L50&gt;Y$34,IF($L50&lt;=Y$35,1,NA()),NA())</f>
        <v>#N/A</v>
      </c>
      <c r="Z52" s="601"/>
      <c r="AA52" s="601"/>
      <c r="AB52" s="601"/>
      <c r="AC52" s="601"/>
      <c r="AD52" s="601"/>
      <c r="AE52" s="601"/>
      <c r="AF52" s="601"/>
      <c r="AG52" s="611"/>
      <c r="AH52" s="610"/>
      <c r="AI52" s="610"/>
      <c r="AJ52" s="610"/>
    </row>
    <row r="53" spans="1:36" s="530" customFormat="1" ht="68.25" customHeight="1">
      <c r="A53" s="595">
        <v>19</v>
      </c>
      <c r="B53" s="624" t="str">
        <f>VLOOKUP(A53,Table1[],2,0)</f>
        <v>Indicator de proces</v>
      </c>
      <c r="C53" s="811" t="str">
        <f>VLOOKUP(A53,Table1[],4,0)</f>
        <v>KP-3d(M): Procentul consumatorilor de droguri injectabile care au fost testați pentru HIV în perioada de raportare și își cunosc rezultatele</v>
      </c>
      <c r="D53" s="811"/>
      <c r="E53" s="811"/>
      <c r="F53" s="607" t="str">
        <f t="shared" si="0"/>
        <v>n/a</v>
      </c>
      <c r="G53" s="607" t="str">
        <f t="shared" si="1"/>
        <v>n/a</v>
      </c>
      <c r="H53" s="812">
        <f t="shared" si="6"/>
        <v>0</v>
      </c>
      <c r="I53" s="813"/>
      <c r="J53" s="813"/>
      <c r="K53" s="813"/>
      <c r="L53" s="814"/>
      <c r="M53" s="815" t="s">
        <v>531</v>
      </c>
      <c r="N53" s="816"/>
      <c r="O53" s="816"/>
      <c r="P53" s="816"/>
      <c r="Q53" s="816"/>
      <c r="R53" s="816"/>
      <c r="S53" s="597"/>
      <c r="T53" s="608"/>
      <c r="U53" s="600" t="e">
        <f t="shared" si="2"/>
        <v>#N/A</v>
      </c>
      <c r="V53" s="600" t="e">
        <f t="shared" si="2"/>
        <v>#N/A</v>
      </c>
      <c r="W53" s="600" t="e">
        <f t="shared" si="2"/>
        <v>#N/A</v>
      </c>
      <c r="X53" s="600" t="e">
        <f t="shared" si="2"/>
        <v>#N/A</v>
      </c>
      <c r="Y53" s="600" t="e">
        <f t="shared" si="7"/>
        <v>#N/A</v>
      </c>
      <c r="Z53" s="601"/>
      <c r="AA53" s="601"/>
      <c r="AB53" s="601"/>
      <c r="AC53" s="601"/>
      <c r="AD53" s="601"/>
      <c r="AE53" s="601"/>
      <c r="AF53" s="601"/>
      <c r="AG53" s="611"/>
      <c r="AH53" s="610"/>
      <c r="AI53" s="610"/>
      <c r="AJ53" s="610"/>
    </row>
    <row r="54" spans="1:36" s="530" customFormat="1" ht="75.75" customHeight="1">
      <c r="A54" s="595">
        <v>20</v>
      </c>
      <c r="B54" s="624" t="str">
        <f>VLOOKUP(A54,Table1[],2,0)</f>
        <v>Indicator de proces</v>
      </c>
      <c r="C54" s="811" t="str">
        <f>VLOOKUP(A54,Table1[],4,0)</f>
        <v xml:space="preserve">KP-1c(M): Procentul LSC acoperiți de programele de prevenire HIV - pachet definit de servicii </v>
      </c>
      <c r="D54" s="811"/>
      <c r="E54" s="811"/>
      <c r="F54" s="607" t="str">
        <f t="shared" si="0"/>
        <v>n/a</v>
      </c>
      <c r="G54" s="607" t="str">
        <f t="shared" si="1"/>
        <v>n/a</v>
      </c>
      <c r="H54" s="812">
        <f t="shared" si="6"/>
        <v>0</v>
      </c>
      <c r="I54" s="813"/>
      <c r="J54" s="813"/>
      <c r="K54" s="813"/>
      <c r="L54" s="814"/>
      <c r="M54" s="815" t="s">
        <v>532</v>
      </c>
      <c r="N54" s="816"/>
      <c r="O54" s="816"/>
      <c r="P54" s="816"/>
      <c r="Q54" s="816"/>
      <c r="R54" s="816"/>
      <c r="S54" s="597"/>
      <c r="T54" s="611"/>
      <c r="U54" s="601"/>
      <c r="V54" s="601"/>
      <c r="W54" s="601"/>
      <c r="X54" s="601"/>
      <c r="Y54" s="601"/>
      <c r="Z54" s="601"/>
      <c r="AA54" s="601"/>
      <c r="AB54" s="601"/>
      <c r="AC54" s="601"/>
      <c r="AD54" s="601"/>
      <c r="AE54" s="601"/>
      <c r="AF54" s="601"/>
      <c r="AG54" s="611"/>
      <c r="AH54" s="610"/>
      <c r="AI54" s="610"/>
      <c r="AJ54" s="610"/>
    </row>
    <row r="55" spans="1:36" s="530" customFormat="1" ht="68.25" customHeight="1">
      <c r="A55" s="595">
        <v>21</v>
      </c>
      <c r="B55" s="624" t="str">
        <f>VLOOKUP(A55,Table1[],2,0)</f>
        <v>Indicator de proces</v>
      </c>
      <c r="C55" s="811" t="str">
        <f>VLOOKUP(A55,Table1[],4,0)</f>
        <v>KP-3c(M): Procentul LSC care au fost testați pentru HIV în perioada de raportare și își cunosc rezultatele</v>
      </c>
      <c r="D55" s="811"/>
      <c r="E55" s="811"/>
      <c r="F55" s="607" t="str">
        <f t="shared" si="0"/>
        <v>n/a</v>
      </c>
      <c r="G55" s="607" t="str">
        <f t="shared" si="1"/>
        <v>n/a</v>
      </c>
      <c r="H55" s="812">
        <f t="shared" si="6"/>
        <v>0</v>
      </c>
      <c r="I55" s="813"/>
      <c r="J55" s="813"/>
      <c r="K55" s="813"/>
      <c r="L55" s="814"/>
      <c r="M55" s="815" t="s">
        <v>533</v>
      </c>
      <c r="N55" s="816"/>
      <c r="O55" s="816"/>
      <c r="P55" s="816"/>
      <c r="Q55" s="816"/>
      <c r="R55" s="816"/>
      <c r="S55" s="597"/>
      <c r="T55" s="611"/>
      <c r="U55" s="601"/>
      <c r="V55" s="601"/>
      <c r="W55" s="601"/>
      <c r="X55" s="601"/>
      <c r="Y55" s="601"/>
      <c r="Z55" s="601"/>
      <c r="AA55" s="601"/>
      <c r="AB55" s="601"/>
      <c r="AC55" s="601"/>
      <c r="AD55" s="601"/>
      <c r="AE55" s="601"/>
      <c r="AF55" s="601"/>
      <c r="AG55" s="611"/>
      <c r="AH55" s="610"/>
      <c r="AI55" s="610"/>
      <c r="AJ55" s="610"/>
    </row>
    <row r="56" spans="1:36" s="530" customFormat="1" ht="76.5" customHeight="1">
      <c r="A56" s="595">
        <v>22</v>
      </c>
      <c r="B56" s="624" t="str">
        <f>VLOOKUP(A56,Table1[],2,0)</f>
        <v>Indicator de proces</v>
      </c>
      <c r="C56" s="811" t="str">
        <f>VLOOKUP(A56,Table1[],4,0)</f>
        <v xml:space="preserve">KP-1a(M): Procentul BSB acoperiți de programele de prevenire HIV - pachet definit de servicii </v>
      </c>
      <c r="D56" s="811"/>
      <c r="E56" s="811"/>
      <c r="F56" s="607" t="str">
        <f t="shared" si="0"/>
        <v>n/a</v>
      </c>
      <c r="G56" s="607" t="str">
        <f t="shared" si="1"/>
        <v>n/a</v>
      </c>
      <c r="H56" s="812">
        <f t="shared" si="6"/>
        <v>0</v>
      </c>
      <c r="I56" s="813"/>
      <c r="J56" s="813"/>
      <c r="K56" s="813"/>
      <c r="L56" s="814"/>
      <c r="M56" s="815" t="s">
        <v>534</v>
      </c>
      <c r="N56" s="816"/>
      <c r="O56" s="816"/>
      <c r="P56" s="816"/>
      <c r="Q56" s="816"/>
      <c r="R56" s="816"/>
      <c r="S56" s="597"/>
      <c r="T56" s="611"/>
      <c r="U56" s="601"/>
      <c r="V56" s="601"/>
      <c r="W56" s="601"/>
      <c r="X56" s="601"/>
      <c r="Y56" s="601"/>
      <c r="Z56" s="601"/>
      <c r="AA56" s="601"/>
      <c r="AB56" s="601"/>
      <c r="AC56" s="601"/>
      <c r="AD56" s="601"/>
      <c r="AE56" s="601"/>
      <c r="AF56" s="601"/>
      <c r="AG56" s="611"/>
      <c r="AH56" s="610"/>
      <c r="AI56" s="610"/>
      <c r="AJ56" s="610"/>
    </row>
    <row r="57" spans="1:36" s="530" customFormat="1" ht="68.25" customHeight="1">
      <c r="A57" s="595">
        <v>23</v>
      </c>
      <c r="B57" s="624" t="str">
        <f>VLOOKUP(A57,Table1[],2,0)</f>
        <v>Indicator de proces</v>
      </c>
      <c r="C57" s="811" t="str">
        <f>VLOOKUP(A57,Table1[],4,0)</f>
        <v>KP-3a(M): Procentul BSB care au fost testați pentru HIV în perioada de raportare și își cunosc rezultatele</v>
      </c>
      <c r="D57" s="811"/>
      <c r="E57" s="811"/>
      <c r="F57" s="607" t="str">
        <f t="shared" si="0"/>
        <v>n/a</v>
      </c>
      <c r="G57" s="607" t="str">
        <f t="shared" si="1"/>
        <v>n/a</v>
      </c>
      <c r="H57" s="812">
        <f t="shared" si="6"/>
        <v>0</v>
      </c>
      <c r="I57" s="813"/>
      <c r="J57" s="813"/>
      <c r="K57" s="813"/>
      <c r="L57" s="814"/>
      <c r="M57" s="815" t="s">
        <v>535</v>
      </c>
      <c r="N57" s="816"/>
      <c r="O57" s="816"/>
      <c r="P57" s="816"/>
      <c r="Q57" s="816"/>
      <c r="R57" s="816"/>
      <c r="S57" s="597"/>
      <c r="T57" s="611"/>
      <c r="U57" s="601"/>
      <c r="V57" s="601"/>
      <c r="W57" s="601"/>
      <c r="X57" s="601"/>
      <c r="Y57" s="601"/>
      <c r="Z57" s="601"/>
      <c r="AA57" s="601"/>
      <c r="AB57" s="601"/>
      <c r="AC57" s="601"/>
      <c r="AD57" s="601"/>
      <c r="AE57" s="601"/>
      <c r="AF57" s="601"/>
      <c r="AG57" s="611"/>
      <c r="AH57" s="610"/>
      <c r="AI57" s="610"/>
      <c r="AJ57" s="610"/>
    </row>
    <row r="58" spans="1:36" s="530" customFormat="1" ht="157.5" customHeight="1">
      <c r="A58" s="595">
        <v>24</v>
      </c>
      <c r="B58" s="624" t="str">
        <f>VLOOKUP(A58,Table1[],2,0)</f>
        <v>Indicator de proces</v>
      </c>
      <c r="C58" s="811" t="str">
        <f>VLOOKUP(A58,Table1[],4,0)</f>
        <v xml:space="preserve">TCS-1 (M): Procentul adulţilor şi copiilor care trăiesc cu HIV și urmează tratament antiretroviral </v>
      </c>
      <c r="D58" s="811"/>
      <c r="E58" s="811"/>
      <c r="F58" s="607" t="str">
        <f t="shared" si="0"/>
        <v>n/a</v>
      </c>
      <c r="G58" s="607" t="str">
        <f t="shared" si="1"/>
        <v>n/a</v>
      </c>
      <c r="H58" s="812">
        <f t="shared" si="6"/>
        <v>0</v>
      </c>
      <c r="I58" s="813"/>
      <c r="J58" s="813"/>
      <c r="K58" s="813"/>
      <c r="L58" s="814"/>
      <c r="M58" s="815" t="s">
        <v>524</v>
      </c>
      <c r="N58" s="816"/>
      <c r="O58" s="816"/>
      <c r="P58" s="816"/>
      <c r="Q58" s="816"/>
      <c r="R58" s="816"/>
      <c r="S58" s="612"/>
      <c r="T58" s="611"/>
      <c r="U58" s="601"/>
      <c r="V58" s="601"/>
      <c r="W58" s="601"/>
      <c r="X58" s="601"/>
      <c r="Y58" s="601"/>
      <c r="Z58" s="601"/>
      <c r="AA58" s="601"/>
      <c r="AB58" s="601"/>
      <c r="AC58" s="601"/>
      <c r="AD58" s="601"/>
      <c r="AE58" s="601"/>
      <c r="AF58" s="601"/>
      <c r="AG58" s="611"/>
      <c r="AH58" s="610"/>
      <c r="AI58" s="610"/>
      <c r="AJ58" s="610"/>
    </row>
    <row r="59" spans="1:36">
      <c r="A59" s="439"/>
      <c r="T59" s="5"/>
      <c r="U59" s="437"/>
      <c r="V59" s="437"/>
      <c r="W59" s="437"/>
      <c r="X59" s="437"/>
      <c r="Y59" s="437"/>
      <c r="Z59" s="437"/>
      <c r="AA59" s="437"/>
      <c r="AB59" s="437"/>
      <c r="AC59" s="437"/>
      <c r="AD59" s="437"/>
      <c r="AE59" s="437"/>
      <c r="AF59" s="437"/>
      <c r="AG59" s="5"/>
      <c r="AH59" s="17"/>
      <c r="AI59" s="17"/>
      <c r="AJ59" s="17"/>
    </row>
    <row r="60" spans="1:36">
      <c r="T60" s="5"/>
      <c r="U60" s="437"/>
      <c r="V60" s="437"/>
      <c r="W60" s="437"/>
      <c r="X60" s="437"/>
      <c r="Y60" s="437"/>
      <c r="Z60" s="437"/>
      <c r="AA60" s="437"/>
      <c r="AB60" s="437"/>
      <c r="AC60" s="437"/>
      <c r="AD60" s="437"/>
      <c r="AE60" s="437"/>
      <c r="AF60" s="437"/>
      <c r="AG60" s="5"/>
      <c r="AH60" s="17"/>
      <c r="AI60" s="17"/>
      <c r="AJ60" s="17"/>
    </row>
    <row r="61" spans="1:36">
      <c r="T61" s="5"/>
      <c r="U61" s="437"/>
      <c r="V61" s="437"/>
      <c r="W61" s="437"/>
      <c r="X61" s="437"/>
      <c r="Y61" s="437"/>
      <c r="Z61" s="437"/>
      <c r="AA61" s="437"/>
      <c r="AB61" s="437"/>
      <c r="AC61" s="437"/>
      <c r="AD61" s="438"/>
      <c r="AE61" s="438"/>
      <c r="AF61" s="438"/>
    </row>
    <row r="62" spans="1:36">
      <c r="T62" s="5"/>
      <c r="U62" s="437"/>
      <c r="V62" s="437"/>
      <c r="W62" s="437"/>
      <c r="X62" s="437"/>
      <c r="Y62" s="437"/>
      <c r="Z62" s="437"/>
      <c r="AA62" s="437"/>
      <c r="AB62" s="437"/>
      <c r="AC62" s="437"/>
      <c r="AD62" s="438"/>
      <c r="AE62" s="438"/>
      <c r="AF62" s="438"/>
    </row>
    <row r="63" spans="1:36">
      <c r="T63" s="5"/>
      <c r="U63" s="437"/>
      <c r="V63" s="437"/>
      <c r="W63" s="437"/>
      <c r="X63" s="437"/>
      <c r="Y63" s="437"/>
      <c r="Z63" s="437"/>
      <c r="AA63" s="437"/>
      <c r="AB63" s="437"/>
      <c r="AC63" s="437"/>
      <c r="AD63" s="438"/>
      <c r="AE63" s="438"/>
      <c r="AF63" s="438"/>
    </row>
    <row r="64" spans="1:36">
      <c r="T64" s="5"/>
      <c r="U64" s="437"/>
      <c r="V64" s="437"/>
      <c r="W64" s="437"/>
      <c r="X64" s="437"/>
      <c r="Y64" s="437"/>
      <c r="Z64" s="437"/>
      <c r="AA64" s="437"/>
      <c r="AB64" s="437"/>
      <c r="AC64" s="437"/>
      <c r="AD64" s="438"/>
      <c r="AE64" s="438"/>
      <c r="AF64" s="438"/>
    </row>
    <row r="65" spans="20:32">
      <c r="T65" s="5"/>
      <c r="U65" s="437"/>
      <c r="V65" s="437"/>
      <c r="W65" s="437"/>
      <c r="X65" s="437"/>
      <c r="Y65" s="437"/>
      <c r="Z65" s="437"/>
      <c r="AA65" s="437"/>
      <c r="AB65" s="437"/>
      <c r="AC65" s="437"/>
      <c r="AD65" s="438"/>
      <c r="AE65" s="438"/>
      <c r="AF65" s="438"/>
    </row>
  </sheetData>
  <mergeCells count="97">
    <mergeCell ref="D19:F19"/>
    <mergeCell ref="H19:L19"/>
    <mergeCell ref="N19:R19"/>
    <mergeCell ref="N20:R20"/>
    <mergeCell ref="C2:AD2"/>
    <mergeCell ref="D20:F20"/>
    <mergeCell ref="H20:L20"/>
    <mergeCell ref="E5:O5"/>
    <mergeCell ref="G6:L6"/>
    <mergeCell ref="F3:L3"/>
    <mergeCell ref="D4:E4"/>
    <mergeCell ref="C44:E44"/>
    <mergeCell ref="H44:L44"/>
    <mergeCell ref="M44:R44"/>
    <mergeCell ref="C45:E45"/>
    <mergeCell ref="H45:L45"/>
    <mergeCell ref="M45:R45"/>
    <mergeCell ref="C42:E42"/>
    <mergeCell ref="H42:L42"/>
    <mergeCell ref="M42:R42"/>
    <mergeCell ref="C43:E43"/>
    <mergeCell ref="H43:L43"/>
    <mergeCell ref="M43:R43"/>
    <mergeCell ref="C40:E40"/>
    <mergeCell ref="H40:L40"/>
    <mergeCell ref="M40:R40"/>
    <mergeCell ref="C41:E41"/>
    <mergeCell ref="H41:L41"/>
    <mergeCell ref="M41:R41"/>
    <mergeCell ref="C38:E38"/>
    <mergeCell ref="H38:L38"/>
    <mergeCell ref="M38:R38"/>
    <mergeCell ref="C39:E39"/>
    <mergeCell ref="H39:L39"/>
    <mergeCell ref="M39:R3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46:E46"/>
    <mergeCell ref="C47:E47"/>
    <mergeCell ref="H46:L46"/>
    <mergeCell ref="H47:L47"/>
    <mergeCell ref="H49:L49"/>
    <mergeCell ref="H48:L48"/>
    <mergeCell ref="C48:E48"/>
    <mergeCell ref="C49:E49"/>
    <mergeCell ref="M34:R34"/>
    <mergeCell ref="M49:R49"/>
    <mergeCell ref="H37:L37"/>
    <mergeCell ref="H34:I34"/>
    <mergeCell ref="J34:K34"/>
    <mergeCell ref="M48:R48"/>
    <mergeCell ref="M35:R35"/>
    <mergeCell ref="M36:R36"/>
    <mergeCell ref="M37:R37"/>
    <mergeCell ref="M46:R46"/>
    <mergeCell ref="M47:R47"/>
    <mergeCell ref="H50:L50"/>
    <mergeCell ref="M50:R50"/>
    <mergeCell ref="C51:E51"/>
    <mergeCell ref="H51:L51"/>
    <mergeCell ref="M51:R51"/>
    <mergeCell ref="C50:E50"/>
    <mergeCell ref="C52:E52"/>
    <mergeCell ref="H52:L52"/>
    <mergeCell ref="M52:R52"/>
    <mergeCell ref="C53:E53"/>
    <mergeCell ref="H53:L53"/>
    <mergeCell ref="M53:R53"/>
    <mergeCell ref="C54:E54"/>
    <mergeCell ref="H54:L54"/>
    <mergeCell ref="M54:R54"/>
    <mergeCell ref="C55:E55"/>
    <mergeCell ref="H55:L55"/>
    <mergeCell ref="M55:R55"/>
    <mergeCell ref="C58:E58"/>
    <mergeCell ref="H58:L58"/>
    <mergeCell ref="M58:R58"/>
    <mergeCell ref="C56:E56"/>
    <mergeCell ref="H56:L56"/>
    <mergeCell ref="M56:R56"/>
    <mergeCell ref="C57:E57"/>
    <mergeCell ref="H57:L57"/>
    <mergeCell ref="M57:R57"/>
  </mergeCells>
  <phoneticPr fontId="22" type="noConversion"/>
  <conditionalFormatting sqref="D4:E4">
    <cfRule type="cellIs" dxfId="28" priority="68" stopIfTrue="1" operator="equal">
      <formula>"C"</formula>
    </cfRule>
    <cfRule type="cellIs" dxfId="27" priority="69" stopIfTrue="1" operator="equal">
      <formula>"B2"</formula>
    </cfRule>
    <cfRule type="cellIs" dxfId="26" priority="70" stopIfTrue="1" operator="equal">
      <formula>"B1"</formula>
    </cfRule>
  </conditionalFormatting>
  <conditionalFormatting sqref="H35:H36 H38:H41 H43:H58">
    <cfRule type="cellIs" dxfId="25" priority="74" stopIfTrue="1" operator="between">
      <formula>0.000001</formula>
      <formula>0.599</formula>
    </cfRule>
    <cfRule type="cellIs" dxfId="24" priority="75" stopIfTrue="1" operator="between">
      <formula>0.6</formula>
      <formula>0.899</formula>
    </cfRule>
    <cfRule type="cellIs" dxfId="23" priority="76" stopIfTrue="1" operator="greaterThanOrEqual">
      <formula>0.9</formula>
    </cfRule>
  </conditionalFormatting>
  <conditionalFormatting sqref="H42">
    <cfRule type="cellIs" dxfId="22" priority="4" stopIfTrue="1" operator="between">
      <formula>0.000001</formula>
      <formula>0.599</formula>
    </cfRule>
    <cfRule type="cellIs" dxfId="21" priority="5" stopIfTrue="1" operator="between">
      <formula>0.6</formula>
      <formula>0.899</formula>
    </cfRule>
    <cfRule type="cellIs" dxfId="20" priority="6" stopIfTrue="1" operator="greaterThanOrEqual">
      <formula>0.9</formula>
    </cfRule>
  </conditionalFormatting>
  <conditionalFormatting sqref="H37">
    <cfRule type="cellIs" dxfId="19" priority="1" stopIfTrue="1" operator="between">
      <formula>0.000001</formula>
      <formula>0.599</formula>
    </cfRule>
    <cfRule type="cellIs" dxfId="18" priority="2" stopIfTrue="1" operator="between">
      <formula>0.6</formula>
      <formula>0.899</formula>
    </cfRule>
    <cfRule type="cellIs" dxfId="17" priority="3" stopIfTrue="1" operator="greaterThanOrEqual">
      <formula>0.9</formula>
    </cfRule>
  </conditionalFormatting>
  <pageMargins left="0.25" right="0.25" top="0.75" bottom="0.75" header="0.3" footer="0.3"/>
  <pageSetup paperSize="8" scale="57"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A1:T39"/>
  <sheetViews>
    <sheetView showGridLines="0" view="pageBreakPreview" topLeftCell="A44" zoomScale="75" zoomScaleNormal="90" zoomScaleSheetLayoutView="75" workbookViewId="0">
      <selection activeCell="R146" sqref="R146"/>
    </sheetView>
  </sheetViews>
  <sheetFormatPr defaultRowHeight="11.25"/>
  <cols>
    <col min="1" max="1" width="1.140625" style="24" customWidth="1"/>
    <col min="2" max="2" width="19.28515625" style="24" customWidth="1"/>
    <col min="3" max="3" width="1.140625" style="24" customWidth="1"/>
    <col min="4" max="4" width="17.140625" style="24" customWidth="1"/>
    <col min="5" max="5" width="17.5703125" style="24" customWidth="1"/>
    <col min="6" max="6" width="9.7109375" style="24" customWidth="1"/>
    <col min="7" max="7" width="38.140625" style="24" customWidth="1"/>
    <col min="8" max="8" width="4.28515625" style="24" customWidth="1"/>
    <col min="9" max="9" width="15.85546875" style="24" customWidth="1"/>
    <col min="10" max="10" width="3.5703125" style="24" customWidth="1"/>
    <col min="11" max="11" width="7.5703125" style="25" customWidth="1"/>
    <col min="12" max="12" width="14.28515625" style="24" customWidth="1"/>
    <col min="13" max="13" width="12" style="24" customWidth="1"/>
    <col min="14" max="14" width="5.42578125" style="24" customWidth="1"/>
    <col min="15" max="15" width="2.5703125" style="24" customWidth="1"/>
    <col min="16" max="16384" width="9.140625" style="24"/>
  </cols>
  <sheetData>
    <row r="1" spans="1:15" ht="38.25" customHeight="1">
      <c r="A1" s="88"/>
      <c r="B1" s="88"/>
      <c r="C1" s="88"/>
      <c r="D1" s="88"/>
      <c r="E1" s="88"/>
      <c r="F1" s="88"/>
      <c r="G1" s="88"/>
      <c r="H1" s="88"/>
      <c r="I1" s="88"/>
      <c r="J1" s="88"/>
      <c r="K1" s="89"/>
      <c r="L1" s="88"/>
      <c r="M1" s="88"/>
      <c r="N1" s="88"/>
    </row>
    <row r="2" spans="1:15" customFormat="1" ht="27.75" customHeight="1">
      <c r="A2" s="3"/>
      <c r="B2" s="766" t="str">
        <f>+"Tabel Programatic de evaluare:  "&amp;"  "&amp;IF(+'Introducerea datelor'!C4="Please Select","",'Introducerea datelor'!C4&amp;" - ")&amp;IF('Introducerea datelor'!G6="Please Select","",'Introducerea datelor'!G6)</f>
        <v>Tabel Programatic de evaluare:    Moldova - HIVAIDS / TB</v>
      </c>
      <c r="C2" s="766"/>
      <c r="D2" s="766"/>
      <c r="E2" s="766"/>
      <c r="F2" s="766"/>
      <c r="G2" s="766"/>
      <c r="H2" s="766"/>
      <c r="I2" s="766"/>
      <c r="J2" s="766"/>
      <c r="K2" s="766"/>
      <c r="L2" s="766"/>
      <c r="M2" s="766"/>
      <c r="N2" s="766"/>
      <c r="O2" s="47"/>
    </row>
    <row r="3" spans="1:15" customFormat="1" ht="18.75">
      <c r="A3" s="3"/>
      <c r="B3" s="79" t="str">
        <f>+IF('Introducerea datelor'!G8="Please Select","",'Introducerea datelor'!G8)</f>
        <v/>
      </c>
      <c r="C3" s="771" t="str">
        <f>+IF('Introducerea datelor'!I8="Please Select","",'Introducerea datelor'!I8)</f>
        <v/>
      </c>
      <c r="D3" s="771"/>
      <c r="E3" s="189"/>
      <c r="F3" s="189"/>
      <c r="G3" s="189"/>
      <c r="H3" s="189"/>
      <c r="I3" s="189"/>
      <c r="J3" s="189"/>
      <c r="K3" s="189"/>
      <c r="L3" s="79" t="str">
        <f>+'Introducerea datelor'!B16</f>
        <v>Perioada de Raportare:</v>
      </c>
      <c r="M3" s="103" t="str">
        <f>+'Introducerea datelor'!C16</f>
        <v>P5</v>
      </c>
      <c r="N3" s="103"/>
      <c r="O3" s="24"/>
    </row>
    <row r="4" spans="1:15" customFormat="1" ht="15">
      <c r="A4" s="3"/>
      <c r="B4" s="79" t="str">
        <f>+'Introducerea datelor'!B12</f>
        <v>Ultimul Rating:</v>
      </c>
      <c r="C4" s="846" t="str">
        <f>+IF('Introducerea datelor'!C12="Please Select","",'Introducerea datelor'!C12)</f>
        <v/>
      </c>
      <c r="D4" s="846"/>
      <c r="E4" s="769" t="str">
        <f>+'Introducerea datelor'!C8</f>
        <v>IP UCIMP DS</v>
      </c>
      <c r="F4" s="769"/>
      <c r="G4" s="769"/>
      <c r="H4" s="769"/>
      <c r="I4" s="769"/>
      <c r="J4" s="769"/>
      <c r="K4" s="769"/>
      <c r="L4" s="79" t="str">
        <f>+'Introducerea datelor'!D16</f>
        <v>De la:</v>
      </c>
      <c r="M4" s="104">
        <f>+IF(ISBLANK('Introducerea datelor'!E16),"",'Introducerea datelor'!E16)</f>
        <v>43831</v>
      </c>
      <c r="N4" s="104"/>
      <c r="O4" s="24"/>
    </row>
    <row r="5" spans="1:15" customFormat="1" ht="18.75" customHeight="1">
      <c r="A5" s="3"/>
      <c r="B5" s="79"/>
      <c r="C5" s="79"/>
      <c r="D5" s="80"/>
      <c r="E5" s="769" t="str">
        <f>+'Introducerea datelor'!G4</f>
        <v>Consolidarea controlului tuberculozei și reducerea SIDA și a mortalității aferente în Republica Moldova</v>
      </c>
      <c r="F5" s="769"/>
      <c r="G5" s="769"/>
      <c r="H5" s="769"/>
      <c r="I5" s="769"/>
      <c r="J5" s="769"/>
      <c r="K5" s="769"/>
      <c r="L5" s="79" t="str">
        <f>+'Introducerea datelor'!F16</f>
        <v>Pînă la:</v>
      </c>
      <c r="M5" s="104">
        <f>+IF(ISBLANK('Introducerea datelor'!G16),"",'Introducerea datelor'!G16)</f>
        <v>44012</v>
      </c>
      <c r="N5" s="104"/>
    </row>
    <row r="6" spans="1:15" customFormat="1" ht="22.5" customHeight="1">
      <c r="A6" s="3"/>
      <c r="B6" s="83"/>
      <c r="C6" s="84"/>
      <c r="D6" s="85"/>
      <c r="E6" s="873" t="s">
        <v>386</v>
      </c>
      <c r="F6" s="873"/>
      <c r="G6" s="873"/>
      <c r="H6" s="873"/>
      <c r="I6" s="873"/>
      <c r="J6" s="873"/>
      <c r="K6" s="873"/>
      <c r="L6" s="2"/>
      <c r="M6" s="2"/>
      <c r="N6" s="2"/>
    </row>
    <row r="7" spans="1:15" s="26" customFormat="1" ht="4.5" customHeight="1">
      <c r="A7" s="90"/>
      <c r="B7" s="91"/>
      <c r="C7" s="91"/>
      <c r="D7" s="91"/>
      <c r="E7" s="91"/>
      <c r="F7" s="91"/>
      <c r="G7" s="91"/>
      <c r="H7" s="91"/>
      <c r="I7" s="91"/>
      <c r="J7" s="91"/>
      <c r="K7" s="91"/>
      <c r="L7" s="92"/>
      <c r="M7" s="92"/>
      <c r="N7" s="93"/>
    </row>
    <row r="8" spans="1:15" s="26" customFormat="1" ht="21" customHeight="1" thickBot="1">
      <c r="A8" s="90"/>
      <c r="B8" s="872" t="s">
        <v>392</v>
      </c>
      <c r="C8" s="872"/>
      <c r="D8" s="872"/>
      <c r="E8" s="872"/>
      <c r="F8" s="872"/>
      <c r="G8" s="872"/>
      <c r="H8" s="872"/>
      <c r="I8" s="872"/>
      <c r="J8" s="872"/>
      <c r="K8" s="872"/>
      <c r="L8" s="872"/>
      <c r="M8" s="872"/>
      <c r="N8" s="872"/>
    </row>
    <row r="9" spans="1:15" s="26" customFormat="1" ht="3.75" customHeight="1" thickBot="1">
      <c r="A9" s="90"/>
      <c r="B9" s="91"/>
      <c r="C9" s="91"/>
      <c r="D9" s="91"/>
      <c r="E9" s="91"/>
      <c r="F9" s="91"/>
      <c r="G9" s="91"/>
      <c r="H9" s="91"/>
      <c r="I9" s="91"/>
      <c r="J9" s="91"/>
      <c r="K9" s="91"/>
      <c r="L9" s="92"/>
      <c r="M9" s="92"/>
      <c r="N9" s="93"/>
    </row>
    <row r="10" spans="1:15" s="27" customFormat="1" ht="25.5" customHeight="1" thickBot="1">
      <c r="A10" s="94"/>
      <c r="B10" s="849" t="s">
        <v>387</v>
      </c>
      <c r="C10" s="850"/>
      <c r="D10" s="851" t="s">
        <v>388</v>
      </c>
      <c r="E10" s="852"/>
      <c r="F10" s="852"/>
      <c r="G10" s="853"/>
      <c r="H10" s="95"/>
      <c r="I10" s="851" t="s">
        <v>386</v>
      </c>
      <c r="J10" s="852"/>
      <c r="K10" s="852"/>
      <c r="L10" s="852"/>
      <c r="M10" s="852"/>
      <c r="N10" s="853"/>
    </row>
    <row r="11" spans="1:15" s="27" customFormat="1" ht="37.5" customHeight="1">
      <c r="A11" s="94"/>
      <c r="B11" s="200" t="s">
        <v>56</v>
      </c>
      <c r="C11" s="201"/>
      <c r="D11" s="862" t="str">
        <f>IF(ISBLANK(Financiar!C9),"",(Financiar!C9))</f>
        <v/>
      </c>
      <c r="E11" s="862"/>
      <c r="F11" s="862"/>
      <c r="G11" s="863"/>
      <c r="H11" s="224"/>
      <c r="I11" s="854"/>
      <c r="J11" s="855"/>
      <c r="K11" s="855"/>
      <c r="L11" s="855"/>
      <c r="M11" s="855"/>
      <c r="N11" s="856"/>
    </row>
    <row r="12" spans="1:15" s="27" customFormat="1" ht="252.75" customHeight="1">
      <c r="A12" s="94"/>
      <c r="B12" s="204" t="s">
        <v>57</v>
      </c>
      <c r="C12" s="205"/>
      <c r="D12" s="857" t="str">
        <f>IF(ISBLANK(Financiar!C23),"",(Financiar!C23))</f>
        <v xml:space="preserve">Componenta TB: Obiectivul 1 „Asigurarea accesului universal la diagnosticul la timp şi de calitate al tuturor formelor de tuberculoză, inclusiv celor cu TB-M/EDR” - Variația se datorează transferării unor activități planificate pentru Q4 2019 pentru perioadele următoare, ca urmare a semnării bugetului actualizat,  în luna ianuarie 2020.
Obiectivul 2 „Asigurarea accesului universal la tratamentul calitativ pentru toate formele de TB, inclusiv cu TB-M/EDR” - variația se datorează (i) achiziționării unor cantități mai mici de medicamente antituberculoase pentru tratamentul pacienților cu TB-M/EDR, în rezultatul evaluării stocurilor existente și estimării necesităților; și (ii) plății amânate a taxelor GLC de către FG.    
                                                                                                                                                                                                                                                  Componenta HIV/SIDA: Obiectivul 1 „Sporirea accesului la servicii de prevenire a infecției HIV, pe bază de dovezi” - Variația se datorează câtorva factori – economii din procurarea consumabilelor; servicii pentru un număr mai mic de beneficiari, comparativ cu numărul planificat in grant, pentru anul respectiv; economii din resursele planificate, pentru motivarea depistării cazurilor noi de HIV; reținerea datoriilor unor ONG-uri pentru indicatorii nerealizați in 2019; impactul pandemiei COVID.  
Obiectivul 2 "Asigurarea accesului universal la servicii de tratament, îngrijire și suport comprehensiv al infecției HIV" - Variația se datorează costurilor mai avantajoase la medicamente si teste, comparativ cu preturile estimate (in special pentru regiunea transnistreana); întârzieri in realizarea unor activități (acreditare laborator SDMC); economii cauzate de utilizarea altor surse pentru realizarea activităților (ex. controlul calității medicamentelor).
De menționat, că în perioada semestrului I.2020, a fost evaluată realizarea activităților grantului actual, au fost identificate și rebugetate economiile acumulate, inclusiv în scopul activităților de control al infecției cu COVID 19.
</v>
      </c>
      <c r="E12" s="857"/>
      <c r="F12" s="857"/>
      <c r="G12" s="858"/>
      <c r="H12" s="224"/>
      <c r="I12" s="854"/>
      <c r="J12" s="855"/>
      <c r="K12" s="855"/>
      <c r="L12" s="855"/>
      <c r="M12" s="855"/>
      <c r="N12" s="856"/>
    </row>
    <row r="13" spans="1:15" s="27" customFormat="1" ht="271.5" customHeight="1">
      <c r="A13" s="94"/>
      <c r="B13" s="204" t="s">
        <v>58</v>
      </c>
      <c r="C13" s="205"/>
      <c r="D13" s="857" t="str">
        <f>IF(ISBLANK(Financiar!I9),"",(Financiar!I9))</f>
        <v/>
      </c>
      <c r="E13" s="857"/>
      <c r="F13" s="857"/>
      <c r="G13" s="858"/>
      <c r="H13" s="224"/>
      <c r="I13" s="854"/>
      <c r="J13" s="855"/>
      <c r="K13" s="855"/>
      <c r="L13" s="855"/>
      <c r="M13" s="855"/>
      <c r="N13" s="856"/>
    </row>
    <row r="14" spans="1:15" s="27" customFormat="1" ht="52.5" customHeight="1" thickBot="1">
      <c r="A14" s="94"/>
      <c r="B14" s="202" t="s">
        <v>59</v>
      </c>
      <c r="C14" s="203"/>
      <c r="D14" s="864" t="str">
        <f>IF(ISBLANK(Financiar!I23),"",(Financiar!I23))</f>
        <v/>
      </c>
      <c r="E14" s="864"/>
      <c r="F14" s="864"/>
      <c r="G14" s="865"/>
      <c r="H14" s="224"/>
      <c r="I14" s="874"/>
      <c r="J14" s="875"/>
      <c r="K14" s="875"/>
      <c r="L14" s="875"/>
      <c r="M14" s="875"/>
      <c r="N14" s="876"/>
    </row>
    <row r="15" spans="1:15" s="27" customFormat="1" ht="4.5" customHeight="1">
      <c r="A15" s="94"/>
      <c r="B15" s="99"/>
      <c r="C15" s="100"/>
      <c r="D15" s="225"/>
      <c r="E15" s="225"/>
      <c r="F15" s="225"/>
      <c r="G15" s="225"/>
      <c r="H15" s="224"/>
      <c r="I15" s="226"/>
      <c r="J15" s="226"/>
      <c r="K15" s="226"/>
      <c r="L15" s="226"/>
      <c r="M15" s="226"/>
      <c r="N15" s="226"/>
      <c r="O15" s="49"/>
    </row>
    <row r="16" spans="1:15" s="26" customFormat="1" ht="21" customHeight="1" thickBot="1">
      <c r="A16" s="90"/>
      <c r="B16" s="872" t="s">
        <v>391</v>
      </c>
      <c r="C16" s="872"/>
      <c r="D16" s="872"/>
      <c r="E16" s="872"/>
      <c r="F16" s="872"/>
      <c r="G16" s="872"/>
      <c r="H16" s="872"/>
      <c r="I16" s="872"/>
      <c r="J16" s="872"/>
      <c r="K16" s="872"/>
      <c r="L16" s="872"/>
      <c r="M16" s="872"/>
      <c r="N16" s="872"/>
    </row>
    <row r="17" spans="1:20" s="27" customFormat="1" ht="3.75" customHeight="1" thickBot="1">
      <c r="A17" s="94"/>
      <c r="B17" s="227"/>
      <c r="C17" s="97"/>
      <c r="D17" s="228"/>
      <c r="E17" s="229"/>
      <c r="F17" s="230"/>
      <c r="G17" s="230"/>
      <c r="H17" s="231"/>
      <c r="I17" s="98"/>
      <c r="J17" s="232"/>
      <c r="K17" s="233"/>
      <c r="L17" s="234"/>
      <c r="M17" s="96"/>
      <c r="N17" s="235"/>
    </row>
    <row r="18" spans="1:20" s="27" customFormat="1" ht="22.5" customHeight="1" thickBot="1">
      <c r="A18" s="94"/>
      <c r="B18" s="847" t="s">
        <v>55</v>
      </c>
      <c r="C18" s="848"/>
      <c r="D18" s="866" t="s">
        <v>388</v>
      </c>
      <c r="E18" s="867"/>
      <c r="F18" s="867"/>
      <c r="G18" s="868"/>
      <c r="H18" s="236"/>
      <c r="I18" s="859" t="s">
        <v>386</v>
      </c>
      <c r="J18" s="860"/>
      <c r="K18" s="860"/>
      <c r="L18" s="860"/>
      <c r="M18" s="861"/>
      <c r="N18" s="861"/>
    </row>
    <row r="19" spans="1:20" s="27" customFormat="1" ht="37.5" customHeight="1">
      <c r="A19" s="94"/>
      <c r="B19" s="206" t="s">
        <v>64</v>
      </c>
      <c r="C19" s="207"/>
      <c r="D19" s="880" t="str">
        <f>IF(ISBLANK(Management!C8),"",(Management!C8))</f>
        <v>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  Informația este disponibilă anual și se va raporta în următoarea perioadă.
-Asigurarea cooperării cu Comitetul de Lumină Verde(GLC), inclusiv prin bugetarea și autorizarea transferului cotizațiilor anuale de maximum 50.000 USD - Suma bugetată este dedusă din debursări de către FG. Pentru perioada raportată, plata nu a fost efectuată de către FG.</v>
      </c>
      <c r="E19" s="880"/>
      <c r="F19" s="880"/>
      <c r="G19" s="881"/>
      <c r="H19" s="237"/>
      <c r="I19" s="886"/>
      <c r="J19" s="887"/>
      <c r="K19" s="887"/>
      <c r="L19" s="887"/>
      <c r="M19" s="887"/>
      <c r="N19" s="888"/>
    </row>
    <row r="20" spans="1:20" ht="47.25" customHeight="1">
      <c r="A20" s="88"/>
      <c r="B20" s="210" t="s">
        <v>65</v>
      </c>
      <c r="C20" s="211"/>
      <c r="D20" s="857" t="str">
        <f>IF(ISBLANK(Management!I8),"",(Management!I8))</f>
        <v>Toate posturile în cadrul echipei ce gestionează Grantul curent sunt ocupate.</v>
      </c>
      <c r="E20" s="857" t="e">
        <f>+'Introducerea datelor'!D75/'Introducerea datelor'!G75</f>
        <v>#DIV/0!</v>
      </c>
      <c r="F20" s="857" t="e">
        <f>+('Introducerea datelor'!E75+'Introducerea datelor'!F75)/'Introducerea datelor'!G75</f>
        <v>#DIV/0!</v>
      </c>
      <c r="G20" s="882"/>
      <c r="H20" s="237"/>
      <c r="I20" s="877"/>
      <c r="J20" s="878"/>
      <c r="K20" s="878"/>
      <c r="L20" s="878"/>
      <c r="M20" s="878"/>
      <c r="N20" s="879"/>
      <c r="O20" s="28"/>
    </row>
    <row r="21" spans="1:20" ht="90.75" customHeight="1">
      <c r="A21" s="88"/>
      <c r="B21" s="212" t="s">
        <v>66</v>
      </c>
      <c r="C21" s="211"/>
      <c r="D21" s="857" t="str">
        <f>IF(ISBLANK(Management!C16),"",(Management!C16))</f>
        <v>Componenta TB: Acordul de Sub-recipient cu IMSP IFP ”Chiril Draganiuc” (Amendamentul nr. 2 din 10/01/2020 la contractul MDA/C/T/SR/01 din 09.02.2018), prevede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precum și realizarea cursurilor de instruire.                                                          Componenta HIV/SIDA: Acordul de Sub-recipient cu AO „Inițiativa Pozitivă” (contract nr. SR-IP-02 din 02.01.2019), prevede susținerea campaniilor de advocacy pentru creșterea accesului la servicii de testare, reducere a stigmei și discriminării, sustenabilitate a programelor desfășurate și serviciilor acordate; oferirea de mini grant-uri pentru ONG-uri privind monitorizarea comunităților și gradului de răspundere socială la nivel local; elaborarea, editarea și distribuirea materialelor informaționale și educaționale despre infecția HIV/SIDA pentru grupurile țintă: CDI/LSC/BSB/PTH.</v>
      </c>
      <c r="E21" s="857"/>
      <c r="F21" s="857"/>
      <c r="G21" s="882"/>
      <c r="H21" s="237"/>
      <c r="I21" s="877"/>
      <c r="J21" s="878"/>
      <c r="K21" s="878"/>
      <c r="L21" s="878"/>
      <c r="M21" s="878"/>
      <c r="N21" s="879"/>
      <c r="O21" s="28"/>
    </row>
    <row r="22" spans="1:20" ht="46.5" customHeight="1">
      <c r="A22" s="88"/>
      <c r="B22" s="212" t="s">
        <v>67</v>
      </c>
      <c r="C22" s="211"/>
      <c r="D22" s="857" t="str">
        <f>IF(ISBLANK(Management!I16),"",(Management!I16))</f>
        <v>În perioada raportată, Sub-Recipienții au prezentat cîte două rapoarte trimestriale (narative și financiare), în conformitate cu acordurile semnate.</v>
      </c>
      <c r="E22" s="857"/>
      <c r="F22" s="857"/>
      <c r="G22" s="882"/>
      <c r="H22" s="237"/>
      <c r="I22" s="877"/>
      <c r="J22" s="878"/>
      <c r="K22" s="878"/>
      <c r="L22" s="878"/>
      <c r="M22" s="878"/>
      <c r="N22" s="879"/>
      <c r="O22" s="28"/>
    </row>
    <row r="23" spans="1:20" ht="43.5" customHeight="1">
      <c r="A23" s="88"/>
      <c r="B23" s="212" t="s">
        <v>68</v>
      </c>
      <c r="C23" s="211"/>
      <c r="D23" s="857" t="str">
        <f>IF(ISBLANK(Management!C27),"",(Management!C27))</f>
        <v>Componenta TB: Obiectivul 1 „Asigurarea accesului universal la diagnosticul la timp şi de calitate al tuturor formelor de tuberculoză, inclusiv celor cu TB-M/EDR” - Variația se datorează transferării unor activități planificate pentru Q4 2019 pentru perioadele următoare, ca urmare a semnării bugetului actualizat,  în luna ianuarie 2020.
Obiectivul 2 „Asigurarea accesului universal la tratamentul calitativ pentru toate formele de TB, inclusiv cu TB-M/EDR” - variația se datorează (i) achiziționării unor cantități mai mici de medicamente antituberculoase pentru tratamentul pacienților cu TB-M/EDR, în rezultatul evaluării stocurilor existente și estimării necesităților; și (ii) plății amânate a taxelor GLC de către FG.    
                                                                                                                                                                                                                                                  Componenta HIV/SIDA: Obiectivul 1 „Sporirea accesului la servicii de prevenire a infecției HIV, pe bază de dovezi” - Variația se datorează câtorva factori – economii din procurarea consumabilelor; servicii pentru un număr mai mic de beneficiari, comparativ cu numărul planificat in grant, pentru anul respectiv; economii din resursele planificate, pentru motivarea depistării cazurilor noi de HIV; reținerea datoriilor unor ONG-uri pentru indicatorii nerealizați in 2019; impactul pandemiei COVID.  
Obiectivul 2 "Asigurarea accesului universal la servicii de tratament, îngrijire și suport comprehensiv al infecției HIV" - Variația se datorează costurilor mai avantajoase la medicamente si teste, comparativ cu preturile estimate (in special pentru regiunea transnistreana); întârzieri in realizarea unor activități (acreditare laborator SDMC); economii cauzate de utilizarea altor surse pentru realizarea activităților (ex. controlul calității medicamentelor).
De menționat, că în perioada semestrului I.2020, a fost evaluată realizarea activităților grantului actual, au fost identificate și rebugetate economiile acumulate, inclusiv în scopul activităților de control al infecției cu COVID 19.</v>
      </c>
      <c r="E23" s="857"/>
      <c r="F23" s="857"/>
      <c r="G23" s="882"/>
      <c r="H23" s="237"/>
      <c r="I23" s="877"/>
      <c r="J23" s="878"/>
      <c r="K23" s="878"/>
      <c r="L23" s="878"/>
      <c r="M23" s="878"/>
      <c r="N23" s="879"/>
      <c r="O23" s="28"/>
    </row>
    <row r="24" spans="1:20" ht="60" customHeight="1" thickBot="1">
      <c r="A24" s="88"/>
      <c r="B24" s="208" t="s">
        <v>69</v>
      </c>
      <c r="C24" s="209"/>
      <c r="D24" s="870" t="str">
        <f>IF(ISBLANK(Management!I27),"",(Management!I27))</f>
        <v>Componenta TB: Analiza stocului medicamentelor antituberculoase de linia a II și a III, a numărului de pacienți în tratament, arată prezența unui stoc între 4 și 8 luni, pentru preparatele de bază. Comenzile sunt plasate trimestrial sau semestrial, în dependență de stocul de medicamente antituberculoase disponibil și Planul de Procurări.                                                                                                                  Componenta HIV/SIDA: Stocul de medicamente ARV disponibil acoperă estimativ perioada de 6-7 luni. Comanda pentru achiziționarea medicamentelor ARV din sursele FG, destinate acoperirii necesităților PN HIV în anul 2020, a fost plasată în luna octombrie 2019.</v>
      </c>
      <c r="E24" s="870"/>
      <c r="F24" s="870"/>
      <c r="G24" s="871"/>
      <c r="H24" s="237"/>
      <c r="I24" s="889"/>
      <c r="J24" s="890"/>
      <c r="K24" s="890"/>
      <c r="L24" s="890"/>
      <c r="M24" s="890"/>
      <c r="N24" s="891"/>
      <c r="O24" s="28"/>
      <c r="T24" s="220"/>
    </row>
    <row r="25" spans="1:20" ht="4.5" customHeight="1">
      <c r="A25" s="90"/>
      <c r="B25" s="238"/>
      <c r="C25" s="239"/>
      <c r="D25" s="240"/>
      <c r="E25" s="241"/>
      <c r="F25" s="242"/>
      <c r="G25" s="242"/>
      <c r="H25" s="236"/>
      <c r="I25" s="241"/>
      <c r="J25" s="243"/>
      <c r="K25" s="233"/>
      <c r="L25" s="234"/>
      <c r="M25" s="96"/>
      <c r="N25" s="235"/>
      <c r="O25" s="28"/>
    </row>
    <row r="26" spans="1:20" s="26" customFormat="1" ht="21" customHeight="1" thickBot="1">
      <c r="A26" s="90"/>
      <c r="B26" s="872" t="s">
        <v>390</v>
      </c>
      <c r="C26" s="872"/>
      <c r="D26" s="872"/>
      <c r="E26" s="872"/>
      <c r="F26" s="872"/>
      <c r="G26" s="872"/>
      <c r="H26" s="872"/>
      <c r="I26" s="872"/>
      <c r="J26" s="872"/>
      <c r="K26" s="872"/>
      <c r="L26" s="872"/>
      <c r="M26" s="872"/>
      <c r="N26" s="872"/>
      <c r="R26" s="221"/>
    </row>
    <row r="27" spans="1:20" ht="3.75" customHeight="1" thickBot="1">
      <c r="A27" s="90"/>
      <c r="B27" s="238"/>
      <c r="C27" s="239"/>
      <c r="D27" s="240"/>
      <c r="E27" s="241"/>
      <c r="F27" s="242"/>
      <c r="G27" s="242"/>
      <c r="H27" s="236"/>
      <c r="I27" s="241"/>
      <c r="J27" s="243"/>
      <c r="K27" s="233"/>
      <c r="L27" s="234"/>
      <c r="M27" s="96"/>
      <c r="N27" s="235"/>
      <c r="O27" s="28"/>
    </row>
    <row r="28" spans="1:20" ht="21.75" customHeight="1" thickBot="1">
      <c r="A28" s="88"/>
      <c r="B28" s="869" t="s">
        <v>389</v>
      </c>
      <c r="C28" s="848"/>
      <c r="D28" s="883" t="s">
        <v>388</v>
      </c>
      <c r="E28" s="884"/>
      <c r="F28" s="884"/>
      <c r="G28" s="885"/>
      <c r="H28" s="236"/>
      <c r="I28" s="883" t="s">
        <v>386</v>
      </c>
      <c r="J28" s="884"/>
      <c r="K28" s="884"/>
      <c r="L28" s="884"/>
      <c r="M28" s="884"/>
      <c r="N28" s="885"/>
      <c r="O28" s="28"/>
    </row>
    <row r="29" spans="1:20" ht="86.25" hidden="1" customHeight="1">
      <c r="A29" s="88"/>
      <c r="B29" s="244" t="s">
        <v>242</v>
      </c>
      <c r="C29" s="245"/>
      <c r="D29" s="902" t="str">
        <f>IF(ISBLANK(Programatic!D9),"",(Programatic!D9))</f>
        <v xml:space="preserve">Date finale pentru anul 2019. 248 persoane (209 pentru malul drept și 39 pentru malul stîng) au decedat de tuberculoză în anul 2019 (7,9 decese la 100,000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v>
      </c>
      <c r="E29" s="903"/>
      <c r="F29" s="903"/>
      <c r="G29" s="904"/>
      <c r="H29" s="237"/>
      <c r="I29" s="896"/>
      <c r="J29" s="897"/>
      <c r="K29" s="897"/>
      <c r="L29" s="897"/>
      <c r="M29" s="897"/>
      <c r="N29" s="898"/>
      <c r="O29" s="28"/>
    </row>
    <row r="30" spans="1:20" ht="87" hidden="1" customHeight="1">
      <c r="A30" s="88"/>
      <c r="B30" s="246" t="s">
        <v>243</v>
      </c>
      <c r="C30" s="247"/>
      <c r="D30" s="895" t="str">
        <f>IF(ISBLANK(Programatic!H9),"",(Programatic!H9))</f>
        <v xml:space="preserve">Date preliminare pentru anul 2019. 355 cazuri noi de tuberculoză cu testul pozitiv la cultură, examinate la sensibilitate pentru preparatele de linia I, din 1,319 cazuri investigate în anul 2019, au fost diagnosticate cu MDR.                                                                                               
Notă - Se constată menținerea unei rate înalte a TB MDR printre cazurile noi - situație caracteristică ultimilor ani. </v>
      </c>
      <c r="E30" s="893"/>
      <c r="F30" s="893"/>
      <c r="G30" s="894"/>
      <c r="H30" s="237"/>
      <c r="I30" s="899"/>
      <c r="J30" s="900"/>
      <c r="K30" s="900"/>
      <c r="L30" s="900"/>
      <c r="M30" s="900"/>
      <c r="N30" s="901"/>
      <c r="O30" s="28"/>
    </row>
    <row r="31" spans="1:20" ht="75" hidden="1" customHeight="1">
      <c r="A31" s="88"/>
      <c r="B31" s="246" t="s">
        <v>244</v>
      </c>
      <c r="C31" s="247"/>
      <c r="D31" s="895" t="str">
        <f>IF(ISBLANK(Programatic!N9),"",(Programatic!N9))</f>
        <v xml:space="preserve">Date finale pentru anul 2019. 124 persoane au decedat de SIDA în anul 2019 (3,9 decese la 100 000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v>
      </c>
      <c r="E31" s="893"/>
      <c r="F31" s="893"/>
      <c r="G31" s="894"/>
      <c r="H31" s="237"/>
      <c r="I31" s="899"/>
      <c r="J31" s="900"/>
      <c r="K31" s="900"/>
      <c r="L31" s="900"/>
      <c r="M31" s="900"/>
      <c r="N31" s="901"/>
      <c r="O31" s="28"/>
    </row>
    <row r="32" spans="1:20" ht="94.5" customHeight="1">
      <c r="A32" s="88"/>
      <c r="B32" s="248" t="s">
        <v>60</v>
      </c>
      <c r="C32" s="247"/>
      <c r="D32" s="892" t="str">
        <f>IF(ISBLANK(Programatic!M35),"",(Programatic!M35))</f>
        <v xml:space="preserve">Date finale pentru anul 2019. 248 persoane (209 pentru malul drept și 39 pentru malul stîng) au decedat de tuberculoză în anul 2019 (7,9 decese la 100,000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v>
      </c>
      <c r="E32" s="893"/>
      <c r="F32" s="893"/>
      <c r="G32" s="894"/>
      <c r="H32" s="237"/>
      <c r="I32" s="899"/>
      <c r="J32" s="900"/>
      <c r="K32" s="900"/>
      <c r="L32" s="900"/>
      <c r="M32" s="900"/>
      <c r="N32" s="901"/>
      <c r="O32" s="28"/>
    </row>
    <row r="33" spans="1:15" ht="87" customHeight="1">
      <c r="A33" s="88"/>
      <c r="B33" s="248" t="s">
        <v>61</v>
      </c>
      <c r="C33" s="247"/>
      <c r="D33" s="892" t="str">
        <f>IF(ISBLANK(Programatic!M36),"",(Programatic!M36))</f>
        <v xml:space="preserve">Date preliminare pentru anul 2019. 355 cazuri noi de tuberculoză cu testul pozitiv la cultură, examinate la sensibilitate pentru preparatele de linia I, din 1,319 cazuri investigate în anul 2019, au fost diagnosticate cu MDR.                                                                                               
Notă - Se constată menținerea unei rate înalte a TB MDR printre cazurile noi - situație caracteristică ultimilor ani. </v>
      </c>
      <c r="E33" s="893"/>
      <c r="F33" s="893"/>
      <c r="G33" s="894"/>
      <c r="H33" s="237"/>
      <c r="I33" s="899"/>
      <c r="J33" s="900"/>
      <c r="K33" s="900"/>
      <c r="L33" s="900"/>
      <c r="M33" s="900"/>
      <c r="N33" s="901"/>
      <c r="O33" s="28"/>
    </row>
    <row r="34" spans="1:15" ht="199.5" customHeight="1">
      <c r="A34" s="88"/>
      <c r="B34" s="248" t="s">
        <v>62</v>
      </c>
      <c r="C34" s="247"/>
      <c r="D34" s="892" t="str">
        <f>IF(ISBLANK(Programatic!M37),"",(Programatic!M37))</f>
        <v xml:space="preserve">Date finale pentru anul 2019. 124 persoane au decedat de SIDA în anul 2019 (3,9 decese la 100 000 persoane). 
Notă - În corespundere cu datele recalculate pentru malul drept, prezentate de către Biroul Național de Statistică (https://statistica.gov.md/newsview.php?l=en&amp;id=6695&amp;idc=168) și datele pentru malul stîng, oferite de către Autoritățile Publice Locale ale regiunii transnistrene, în 2019, populația RM a constituit 3,105,576 de persoane (MD - 2,640,400 și MS - 465,176). Respectiv, rata mortalității prin TB, pentru anul 2019, a fost recalculată, în conformitate cu numărul actualizat al populației rezidente în Republica Moldova.      
</v>
      </c>
      <c r="E34" s="893"/>
      <c r="F34" s="893"/>
      <c r="G34" s="894"/>
      <c r="H34" s="237"/>
      <c r="I34" s="899"/>
      <c r="J34" s="900"/>
      <c r="K34" s="900"/>
      <c r="L34" s="900"/>
      <c r="M34" s="900"/>
      <c r="N34" s="901"/>
      <c r="O34" s="28"/>
    </row>
    <row r="35" spans="1:15" ht="107.25" customHeight="1">
      <c r="A35" s="88"/>
      <c r="B35" s="248" t="s">
        <v>63</v>
      </c>
      <c r="C35" s="249"/>
      <c r="D35" s="892" t="str">
        <f>IF(ISBLANK(Programatic!M46),"",(Programatic!M46))</f>
        <v>Datele colectate și validate în conformitate cu rezultatele Studiului Bio-Comportamental (BSS), vor fi disponibile în trimestrul III.2020, după publicarea Raportului Final al Studiului IBBS 2019/2020.</v>
      </c>
      <c r="E35" s="893"/>
      <c r="F35" s="893"/>
      <c r="G35" s="894"/>
      <c r="H35" s="237"/>
      <c r="I35" s="899"/>
      <c r="J35" s="900"/>
      <c r="K35" s="900"/>
      <c r="L35" s="900"/>
      <c r="M35" s="900"/>
      <c r="N35" s="901"/>
      <c r="O35" s="28"/>
    </row>
    <row r="36" spans="1:15" ht="82.5" customHeight="1">
      <c r="A36" s="88"/>
      <c r="B36" s="248" t="s">
        <v>70</v>
      </c>
      <c r="C36" s="249"/>
      <c r="D36" s="892" t="str">
        <f>IF(ISBLANK(Programatic!M47),"",(Programatic!M47))</f>
        <v>Datele colectate și validate în conformitate cu rezultatele Studiului Bio-Comportamental (BSS), vor fi disponibile în trimestrul III.2020, după publicarea Raportului Final al Studiului IBBS 2019/2020.</v>
      </c>
      <c r="E36" s="893"/>
      <c r="F36" s="893"/>
      <c r="G36" s="894"/>
      <c r="H36" s="237"/>
      <c r="I36" s="899"/>
      <c r="J36" s="900"/>
      <c r="K36" s="900"/>
      <c r="L36" s="900"/>
      <c r="M36" s="900"/>
      <c r="N36" s="901"/>
      <c r="O36" s="28"/>
    </row>
    <row r="37" spans="1:15" ht="102" customHeight="1">
      <c r="A37" s="88"/>
      <c r="B37" s="248" t="s">
        <v>71</v>
      </c>
      <c r="C37" s="249"/>
      <c r="D37" s="892" t="str">
        <f>IF(ISBLANK(Programatic!M48),"",(Programatic!M48))</f>
        <v xml:space="preserve">Date preliminare pentru a. 2020. 220 cazuri cu tuberculoză drog-rezistentă (RR-TB și/sau MDR-TB), confirmate bacteriologic, au fost notificate în anul 2020, față de 504 cazuri estimate pentru perioada raportată.                                                    
Notă - Reducerea numărului de pacienți MDR TB notificați este în directă corespundere cu scăderea incidenței TB.                            </v>
      </c>
      <c r="E37" s="893"/>
      <c r="F37" s="893"/>
      <c r="G37" s="894"/>
      <c r="H37" s="237"/>
      <c r="I37" s="899"/>
      <c r="J37" s="900"/>
      <c r="K37" s="900"/>
      <c r="L37" s="900"/>
      <c r="M37" s="900"/>
      <c r="N37" s="901"/>
      <c r="O37" s="28"/>
    </row>
    <row r="38" spans="1:15" ht="162.75" customHeight="1">
      <c r="A38" s="88"/>
      <c r="B38" s="248" t="s">
        <v>72</v>
      </c>
      <c r="C38" s="249"/>
      <c r="D38" s="892" t="str">
        <f>IF(ISBLANK(Programatic!M49),"",(Programatic!M49))</f>
        <v xml:space="preserve">Date preliminare pentru cohorta Q1-Q2.2020. 307 cazuri cu tuberculoză drog-rezistentă (RR-TB și/sau MDR-TB), confirmate bacteriologic, au demarat tratamentul DOTS-Plus în perioada Q1-Q2.2020, față de 491 cazuri estimate pentru perioada raportată.                                                                                                                    </v>
      </c>
      <c r="E38" s="893"/>
      <c r="F38" s="893"/>
      <c r="G38" s="894"/>
      <c r="H38" s="237"/>
      <c r="I38" s="899"/>
      <c r="J38" s="900"/>
      <c r="K38" s="900"/>
      <c r="L38" s="900"/>
      <c r="M38" s="900"/>
      <c r="N38" s="901"/>
      <c r="O38" s="28"/>
    </row>
    <row r="39" spans="1:15" ht="178.5" customHeight="1"/>
  </sheetData>
  <mergeCells count="58">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 ref="D32:G32"/>
    <mergeCell ref="D30:G30"/>
    <mergeCell ref="D31:G31"/>
    <mergeCell ref="D33:G33"/>
    <mergeCell ref="D20:G20"/>
    <mergeCell ref="D19:G19"/>
    <mergeCell ref="D21:G21"/>
    <mergeCell ref="D22:G22"/>
    <mergeCell ref="I28:N28"/>
    <mergeCell ref="I19:N19"/>
    <mergeCell ref="I24:N24"/>
    <mergeCell ref="I20:N20"/>
    <mergeCell ref="D23:G23"/>
    <mergeCell ref="D28:G2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B18:C18"/>
    <mergeCell ref="B10:C10"/>
    <mergeCell ref="D10:G10"/>
    <mergeCell ref="I12:N12"/>
    <mergeCell ref="D12:G12"/>
    <mergeCell ref="I11:N11"/>
    <mergeCell ref="I18:N18"/>
    <mergeCell ref="D11:G11"/>
    <mergeCell ref="D13:G13"/>
    <mergeCell ref="I13:N13"/>
    <mergeCell ref="D14:G14"/>
    <mergeCell ref="D18:G18"/>
  </mergeCells>
  <phoneticPr fontId="22" type="noConversion"/>
  <conditionalFormatting sqref="C4:D4">
    <cfRule type="cellIs" dxfId="16" priority="1" stopIfTrue="1" operator="equal">
      <formula>"C"</formula>
    </cfRule>
    <cfRule type="cellIs" dxfId="15" priority="2" stopIfTrue="1" operator="equal">
      <formula>"B2"</formula>
    </cfRule>
    <cfRule type="cellIs" dxfId="14" priority="3" stopIfTrue="1" operator="equal">
      <formula>"B1"</formula>
    </cfRule>
  </conditionalFormatting>
  <pageMargins left="0.70866141732283472" right="0.70866141732283472" top="0.74803149606299213" bottom="0.74803149606299213" header="0.31496062992125984" footer="0.31496062992125984"/>
  <pageSetup paperSize="256" scale="50"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O25" sqref="O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54" t="str">
        <f>+"Tabel Programatic de Evaluare:  "&amp;"  "&amp;IF(+'Introducerea datelor'!C4="Please Select","",'Introducerea datelor'!C4&amp;" - ")&amp;IF('Introducerea datelor'!G6="Please Select","",'Introducerea datelor'!G6)</f>
        <v>Tabel Programatic de Evaluare:    Moldova - HIVAIDS / TB</v>
      </c>
      <c r="C2" s="954"/>
      <c r="D2" s="954"/>
      <c r="E2" s="954"/>
      <c r="F2" s="954"/>
      <c r="G2" s="954"/>
      <c r="H2" s="954"/>
      <c r="I2" s="954"/>
      <c r="J2" s="954"/>
      <c r="K2" s="954"/>
      <c r="L2" s="954"/>
    </row>
    <row r="3" spans="1:13">
      <c r="B3" s="21" t="str">
        <f>+IF('Introducerea datelor'!G8="Please Select","",'Introducerea datelor'!G8)</f>
        <v/>
      </c>
      <c r="C3" s="961" t="str">
        <f>+IF('Introducerea datelor'!I8="Please Select","",'Introducerea datelor'!I8)</f>
        <v/>
      </c>
      <c r="D3" s="961"/>
      <c r="E3" s="957"/>
      <c r="F3" s="957"/>
      <c r="G3" s="957"/>
      <c r="H3" s="957"/>
      <c r="I3" s="957"/>
      <c r="J3" s="958" t="str">
        <f>+'Introducerea datelor'!B16</f>
        <v>Perioada de Raportare:</v>
      </c>
      <c r="K3" s="958"/>
      <c r="L3" s="103" t="str">
        <f>+'Introducerea datelor'!C16</f>
        <v>P5</v>
      </c>
      <c r="M3" s="54"/>
    </row>
    <row r="4" spans="1:13">
      <c r="B4" s="21" t="str">
        <f>+'Introducerea datelor'!B12</f>
        <v>Ultimul Rating:</v>
      </c>
      <c r="C4" s="955" t="str">
        <f>+IF('Introducerea datelor'!C12="Please Select","",'Introducerea datelor'!C12)</f>
        <v/>
      </c>
      <c r="D4" s="955"/>
      <c r="E4" s="957" t="str">
        <f>+'Introducerea datelor'!C8</f>
        <v>IP UCIMP DS</v>
      </c>
      <c r="F4" s="957"/>
      <c r="G4" s="957"/>
      <c r="H4" s="957"/>
      <c r="I4" s="957"/>
      <c r="J4" s="958" t="str">
        <f>+'Introducerea datelor'!D16</f>
        <v>De la:</v>
      </c>
      <c r="K4" s="959"/>
      <c r="L4" s="104">
        <f>+IF(ISBLANK('Introducerea datelor'!E16),"",'Introducerea datelor'!E16)</f>
        <v>43831</v>
      </c>
    </row>
    <row r="5" spans="1:13" ht="18.75" customHeight="1">
      <c r="B5" s="21"/>
      <c r="C5" s="21"/>
      <c r="D5" s="957" t="str">
        <f>+'Introducerea datelor'!G4</f>
        <v>Consolidarea controlului tuberculozei și reducerea SIDA și a mortalității aferente în Republica Moldova</v>
      </c>
      <c r="E5" s="957"/>
      <c r="F5" s="957"/>
      <c r="G5" s="957"/>
      <c r="H5" s="957"/>
      <c r="I5" s="957"/>
      <c r="J5" s="957"/>
      <c r="K5" s="21" t="str">
        <f>+'Introducerea datelor'!F16</f>
        <v>Pînă la:</v>
      </c>
      <c r="L5" s="104">
        <f>+IF(ISBLANK('Introducerea datelor'!G16),"",'Introducerea datelor'!G16)</f>
        <v>44012</v>
      </c>
    </row>
    <row r="6" spans="1:13" ht="18.75">
      <c r="B6" s="20"/>
      <c r="C6" s="21"/>
      <c r="D6" s="22"/>
      <c r="E6" s="960" t="s">
        <v>393</v>
      </c>
      <c r="F6" s="960"/>
      <c r="G6" s="960"/>
      <c r="H6" s="960"/>
      <c r="I6" s="960"/>
    </row>
    <row r="7" spans="1:13" ht="18.75">
      <c r="E7" s="46"/>
      <c r="F7" s="46"/>
      <c r="G7" s="46"/>
      <c r="H7" s="46"/>
      <c r="I7" s="46"/>
    </row>
    <row r="8" spans="1:13" s="26" customFormat="1" ht="21" customHeight="1" thickBot="1">
      <c r="B8" s="50" t="s">
        <v>394</v>
      </c>
      <c r="C8" s="50"/>
      <c r="D8" s="50"/>
      <c r="E8" s="50"/>
      <c r="F8" s="50"/>
      <c r="G8" s="50"/>
      <c r="H8" s="50"/>
      <c r="I8" s="50"/>
      <c r="J8" s="50"/>
      <c r="K8" s="50"/>
      <c r="L8" s="50"/>
    </row>
    <row r="9" spans="1:13" ht="6" customHeight="1">
      <c r="B9" s="48"/>
    </row>
    <row r="10" spans="1:13" ht="18" customHeight="1">
      <c r="B10" s="966"/>
      <c r="C10" s="967"/>
      <c r="D10" s="967"/>
      <c r="E10" s="967"/>
      <c r="F10" s="967"/>
      <c r="G10" s="967"/>
      <c r="H10" s="967"/>
      <c r="I10" s="967"/>
      <c r="J10" s="967"/>
      <c r="K10" s="967"/>
      <c r="L10" s="968"/>
    </row>
    <row r="11" spans="1:13" ht="18" customHeight="1">
      <c r="B11" s="969"/>
      <c r="C11" s="970"/>
      <c r="D11" s="970"/>
      <c r="E11" s="970"/>
      <c r="F11" s="970"/>
      <c r="G11" s="970"/>
      <c r="H11" s="970"/>
      <c r="I11" s="970"/>
      <c r="J11" s="970"/>
      <c r="K11" s="970"/>
      <c r="L11" s="971"/>
    </row>
    <row r="12" spans="1:13" ht="15.75" thickBot="1"/>
    <row r="13" spans="1:13" ht="26.25" customHeight="1" thickBot="1">
      <c r="B13" s="962" t="s">
        <v>416</v>
      </c>
      <c r="C13" s="963"/>
      <c r="D13" s="963"/>
      <c r="E13" s="964"/>
      <c r="F13" s="51"/>
      <c r="G13" s="972" t="s">
        <v>395</v>
      </c>
      <c r="H13" s="935"/>
      <c r="I13" s="935"/>
      <c r="J13" s="52" t="s">
        <v>396</v>
      </c>
      <c r="K13" s="935" t="s">
        <v>397</v>
      </c>
      <c r="L13" s="936"/>
    </row>
    <row r="14" spans="1:13" ht="18.75" customHeight="1">
      <c r="A14" s="905" t="s">
        <v>398</v>
      </c>
      <c r="B14" s="951"/>
      <c r="C14" s="952"/>
      <c r="D14" s="952"/>
      <c r="E14" s="953"/>
      <c r="F14" s="31"/>
      <c r="G14" s="950"/>
      <c r="H14" s="938"/>
      <c r="I14" s="938"/>
      <c r="J14" s="938"/>
      <c r="K14" s="938"/>
      <c r="L14" s="956"/>
    </row>
    <row r="15" spans="1:13" ht="18.75" customHeight="1">
      <c r="A15" s="906"/>
      <c r="B15" s="942"/>
      <c r="C15" s="943"/>
      <c r="D15" s="943"/>
      <c r="E15" s="944"/>
      <c r="F15" s="31"/>
      <c r="G15" s="947"/>
      <c r="H15" s="925"/>
      <c r="I15" s="925"/>
      <c r="J15" s="925"/>
      <c r="K15" s="925"/>
      <c r="L15" s="926"/>
    </row>
    <row r="16" spans="1:13" ht="18.75" customHeight="1">
      <c r="A16" s="906"/>
      <c r="B16" s="939"/>
      <c r="C16" s="940"/>
      <c r="D16" s="940"/>
      <c r="E16" s="941"/>
      <c r="F16" s="31"/>
      <c r="G16" s="947"/>
      <c r="H16" s="925"/>
      <c r="I16" s="925"/>
      <c r="J16" s="925"/>
      <c r="K16" s="925"/>
      <c r="L16" s="926"/>
    </row>
    <row r="17" spans="1:12" ht="18.75" customHeight="1">
      <c r="A17" s="906"/>
      <c r="B17" s="942"/>
      <c r="C17" s="943"/>
      <c r="D17" s="943"/>
      <c r="E17" s="944"/>
      <c r="F17" s="31"/>
      <c r="G17" s="947"/>
      <c r="H17" s="925"/>
      <c r="I17" s="925"/>
      <c r="J17" s="925"/>
      <c r="K17" s="925"/>
      <c r="L17" s="926"/>
    </row>
    <row r="18" spans="1:12" ht="18.75" customHeight="1">
      <c r="A18" s="906"/>
      <c r="B18" s="939"/>
      <c r="C18" s="940"/>
      <c r="D18" s="940"/>
      <c r="E18" s="941"/>
      <c r="F18" s="31"/>
      <c r="G18" s="927"/>
      <c r="H18" s="928"/>
      <c r="I18" s="929"/>
      <c r="J18" s="925"/>
      <c r="K18" s="925"/>
      <c r="L18" s="926"/>
    </row>
    <row r="19" spans="1:12" ht="18.75" customHeight="1">
      <c r="A19" s="906"/>
      <c r="B19" s="942"/>
      <c r="C19" s="943"/>
      <c r="D19" s="943"/>
      <c r="E19" s="944"/>
      <c r="F19" s="31"/>
      <c r="G19" s="921"/>
      <c r="H19" s="922"/>
      <c r="I19" s="930"/>
      <c r="J19" s="925"/>
      <c r="K19" s="925"/>
      <c r="L19" s="926"/>
    </row>
    <row r="20" spans="1:12" ht="18.75" customHeight="1">
      <c r="A20" s="906"/>
      <c r="B20" s="945"/>
      <c r="C20" s="945"/>
      <c r="D20" s="945"/>
      <c r="E20" s="946"/>
      <c r="F20" s="31"/>
      <c r="G20" s="947"/>
      <c r="H20" s="925"/>
      <c r="I20" s="925"/>
      <c r="J20" s="925"/>
      <c r="K20" s="925"/>
      <c r="L20" s="926"/>
    </row>
    <row r="21" spans="1:12" ht="18.75" customHeight="1">
      <c r="A21" s="906"/>
      <c r="B21" s="945"/>
      <c r="C21" s="945"/>
      <c r="D21" s="945"/>
      <c r="E21" s="946"/>
      <c r="F21" s="31"/>
      <c r="G21" s="947"/>
      <c r="H21" s="925"/>
      <c r="I21" s="925"/>
      <c r="J21" s="925"/>
      <c r="K21" s="925"/>
      <c r="L21" s="926"/>
    </row>
    <row r="22" spans="1:12" ht="18.75" customHeight="1">
      <c r="A22" s="906"/>
      <c r="B22" s="945"/>
      <c r="C22" s="945"/>
      <c r="D22" s="945"/>
      <c r="E22" s="946"/>
      <c r="F22" s="31"/>
      <c r="G22" s="947"/>
      <c r="H22" s="925"/>
      <c r="I22" s="925"/>
      <c r="J22" s="925"/>
      <c r="K22" s="925"/>
      <c r="L22" s="926"/>
    </row>
    <row r="23" spans="1:12" ht="18.75" customHeight="1">
      <c r="A23" s="906"/>
      <c r="B23" s="945"/>
      <c r="C23" s="945"/>
      <c r="D23" s="945"/>
      <c r="E23" s="946"/>
      <c r="F23" s="31"/>
      <c r="G23" s="947"/>
      <c r="H23" s="925"/>
      <c r="I23" s="925"/>
      <c r="J23" s="925"/>
      <c r="K23" s="925"/>
      <c r="L23" s="926"/>
    </row>
    <row r="24" spans="1:12" ht="18.75" customHeight="1">
      <c r="A24" s="906"/>
      <c r="B24" s="945"/>
      <c r="C24" s="945"/>
      <c r="D24" s="945"/>
      <c r="E24" s="946"/>
      <c r="F24" s="31"/>
      <c r="G24" s="947"/>
      <c r="H24" s="925"/>
      <c r="I24" s="925"/>
      <c r="J24" s="925"/>
      <c r="K24" s="925"/>
      <c r="L24" s="926"/>
    </row>
    <row r="25" spans="1:12" ht="18.75" customHeight="1" thickBot="1">
      <c r="A25" s="907"/>
      <c r="B25" s="948"/>
      <c r="C25" s="948"/>
      <c r="D25" s="948"/>
      <c r="E25" s="949"/>
      <c r="F25" s="31"/>
      <c r="G25" s="973"/>
      <c r="H25" s="931"/>
      <c r="I25" s="931"/>
      <c r="J25" s="931"/>
      <c r="K25" s="931"/>
      <c r="L25" s="932"/>
    </row>
    <row r="27" spans="1:12" ht="18.75">
      <c r="E27" s="974" t="s">
        <v>399</v>
      </c>
      <c r="F27" s="974"/>
      <c r="G27" s="974"/>
      <c r="H27" s="974"/>
      <c r="I27" s="974"/>
    </row>
    <row r="28" spans="1:12" ht="6" customHeight="1">
      <c r="E28" s="46"/>
      <c r="F28" s="46"/>
      <c r="G28" s="46"/>
      <c r="H28" s="46"/>
      <c r="I28" s="46"/>
    </row>
    <row r="29" spans="1:12" s="26" customFormat="1" ht="21" customHeight="1" thickBot="1">
      <c r="B29" s="50" t="s">
        <v>400</v>
      </c>
      <c r="C29" s="50"/>
      <c r="D29" s="50"/>
      <c r="E29" s="50"/>
      <c r="F29" s="50"/>
      <c r="G29" s="50"/>
      <c r="H29" s="50"/>
      <c r="I29" s="50"/>
      <c r="J29" s="50"/>
      <c r="K29" s="50"/>
      <c r="L29" s="50"/>
    </row>
    <row r="30" spans="1:12" ht="6" customHeight="1" thickBot="1">
      <c r="B30" s="48"/>
    </row>
    <row r="31" spans="1:12" ht="38.25" customHeight="1" thickBot="1">
      <c r="B31" s="962" t="s">
        <v>395</v>
      </c>
      <c r="C31" s="963"/>
      <c r="D31" s="963"/>
      <c r="E31" s="964"/>
      <c r="F31" s="51"/>
      <c r="G31" s="972" t="s">
        <v>401</v>
      </c>
      <c r="H31" s="935"/>
      <c r="I31" s="935"/>
      <c r="J31" s="52" t="s">
        <v>402</v>
      </c>
      <c r="K31" s="935" t="s">
        <v>397</v>
      </c>
      <c r="L31" s="936"/>
    </row>
    <row r="32" spans="1:12" ht="16.5" customHeight="1">
      <c r="A32" s="905" t="s">
        <v>403</v>
      </c>
      <c r="B32" s="918"/>
      <c r="C32" s="919"/>
      <c r="D32" s="919"/>
      <c r="E32" s="920"/>
      <c r="F32" s="31"/>
      <c r="G32" s="965"/>
      <c r="H32" s="924"/>
      <c r="I32" s="924"/>
      <c r="J32" s="924"/>
      <c r="K32" s="924"/>
      <c r="L32" s="937"/>
    </row>
    <row r="33" spans="1:12" ht="16.5" customHeight="1">
      <c r="A33" s="906"/>
      <c r="B33" s="921"/>
      <c r="C33" s="922"/>
      <c r="D33" s="922"/>
      <c r="E33" s="923"/>
      <c r="F33" s="31"/>
      <c r="G33" s="914"/>
      <c r="H33" s="915"/>
      <c r="I33" s="915"/>
      <c r="J33" s="915"/>
      <c r="K33" s="915"/>
      <c r="L33" s="933"/>
    </row>
    <row r="34" spans="1:12" ht="16.5" customHeight="1">
      <c r="A34" s="906"/>
      <c r="B34" s="908" t="str">
        <f>IF(Recomandari!I39="","",Recomandari!I39)</f>
        <v/>
      </c>
      <c r="C34" s="909"/>
      <c r="D34" s="909"/>
      <c r="E34" s="910"/>
      <c r="F34" s="31"/>
      <c r="G34" s="914"/>
      <c r="H34" s="915"/>
      <c r="I34" s="915"/>
      <c r="J34" s="915"/>
      <c r="K34" s="915"/>
      <c r="L34" s="933"/>
    </row>
    <row r="35" spans="1:12" ht="16.5" customHeight="1">
      <c r="A35" s="906"/>
      <c r="B35" s="908"/>
      <c r="C35" s="909"/>
      <c r="D35" s="909"/>
      <c r="E35" s="910"/>
      <c r="F35" s="31"/>
      <c r="G35" s="914"/>
      <c r="H35" s="915"/>
      <c r="I35" s="915"/>
      <c r="J35" s="915"/>
      <c r="K35" s="915"/>
      <c r="L35" s="933"/>
    </row>
    <row r="36" spans="1:12" ht="16.5" customHeight="1">
      <c r="A36" s="906"/>
      <c r="B36" s="908" t="str">
        <f>+IF(Recomandari!I49="","",Recomandari!I49)</f>
        <v/>
      </c>
      <c r="C36" s="909"/>
      <c r="D36" s="909"/>
      <c r="E36" s="910"/>
      <c r="F36" s="31"/>
      <c r="G36" s="914"/>
      <c r="H36" s="915"/>
      <c r="I36" s="915"/>
      <c r="J36" s="915"/>
      <c r="K36" s="915"/>
      <c r="L36" s="933"/>
    </row>
    <row r="37" spans="1:12" ht="16.5" customHeight="1">
      <c r="A37" s="906"/>
      <c r="B37" s="908"/>
      <c r="C37" s="909"/>
      <c r="D37" s="909"/>
      <c r="E37" s="910"/>
      <c r="F37" s="31"/>
      <c r="G37" s="914"/>
      <c r="H37" s="915"/>
      <c r="I37" s="915"/>
      <c r="J37" s="915"/>
      <c r="K37" s="915"/>
      <c r="L37" s="933"/>
    </row>
    <row r="38" spans="1:12" ht="16.5" customHeight="1">
      <c r="A38" s="906"/>
      <c r="B38" s="908"/>
      <c r="C38" s="909"/>
      <c r="D38" s="909"/>
      <c r="E38" s="910"/>
      <c r="F38" s="31"/>
      <c r="G38" s="914"/>
      <c r="H38" s="915"/>
      <c r="I38" s="915"/>
      <c r="J38" s="915"/>
      <c r="K38" s="915"/>
      <c r="L38" s="933"/>
    </row>
    <row r="39" spans="1:12" ht="16.5" customHeight="1">
      <c r="A39" s="906"/>
      <c r="B39" s="908"/>
      <c r="C39" s="909"/>
      <c r="D39" s="909"/>
      <c r="E39" s="910"/>
      <c r="F39" s="31"/>
      <c r="G39" s="914"/>
      <c r="H39" s="915"/>
      <c r="I39" s="915"/>
      <c r="J39" s="915"/>
      <c r="K39" s="915"/>
      <c r="L39" s="933"/>
    </row>
    <row r="40" spans="1:12" ht="16.5" customHeight="1">
      <c r="A40" s="906"/>
      <c r="B40" s="908"/>
      <c r="C40" s="909"/>
      <c r="D40" s="909"/>
      <c r="E40" s="910"/>
      <c r="F40" s="31"/>
      <c r="G40" s="914"/>
      <c r="H40" s="915"/>
      <c r="I40" s="915"/>
      <c r="J40" s="915"/>
      <c r="K40" s="915"/>
      <c r="L40" s="933"/>
    </row>
    <row r="41" spans="1:12" ht="16.5" customHeight="1">
      <c r="A41" s="906"/>
      <c r="B41" s="908"/>
      <c r="C41" s="909"/>
      <c r="D41" s="909"/>
      <c r="E41" s="910"/>
      <c r="F41" s="31"/>
      <c r="G41" s="914"/>
      <c r="H41" s="915"/>
      <c r="I41" s="915"/>
      <c r="J41" s="915"/>
      <c r="K41" s="915"/>
      <c r="L41" s="933"/>
    </row>
    <row r="42" spans="1:12" ht="16.5" customHeight="1">
      <c r="A42" s="906"/>
      <c r="B42" s="908"/>
      <c r="C42" s="909"/>
      <c r="D42" s="909"/>
      <c r="E42" s="910"/>
      <c r="F42" s="31"/>
      <c r="G42" s="914"/>
      <c r="H42" s="915"/>
      <c r="I42" s="915"/>
      <c r="J42" s="915"/>
      <c r="K42" s="915"/>
      <c r="L42" s="933"/>
    </row>
    <row r="43" spans="1:12" ht="16.5" customHeight="1" thickBot="1">
      <c r="A43" s="907"/>
      <c r="B43" s="911"/>
      <c r="C43" s="912"/>
      <c r="D43" s="912"/>
      <c r="E43" s="913"/>
      <c r="F43" s="31"/>
      <c r="G43" s="916"/>
      <c r="H43" s="917"/>
      <c r="I43" s="917"/>
      <c r="J43" s="917"/>
      <c r="K43" s="917"/>
      <c r="L43" s="934"/>
    </row>
  </sheetData>
  <mergeCells count="67">
    <mergeCell ref="B10:L11"/>
    <mergeCell ref="K13:L13"/>
    <mergeCell ref="G13:I13"/>
    <mergeCell ref="G24:I25"/>
    <mergeCell ref="G31:I31"/>
    <mergeCell ref="J24:J25"/>
    <mergeCell ref="E27:I27"/>
    <mergeCell ref="B31:E31"/>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32:A43"/>
    <mergeCell ref="B42:E43"/>
    <mergeCell ref="G42:I43"/>
    <mergeCell ref="G38:I39"/>
    <mergeCell ref="B38:E39"/>
    <mergeCell ref="B40:E41"/>
    <mergeCell ref="B34:E35"/>
    <mergeCell ref="G34:I35"/>
    <mergeCell ref="B36:E37"/>
    <mergeCell ref="G36:I37"/>
    <mergeCell ref="B32:E33"/>
  </mergeCells>
  <phoneticPr fontId="22"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256" scale="65"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2019-10-29T08:51:17Z</cp:lastPrinted>
  <dcterms:created xsi:type="dcterms:W3CDTF">2011-10-24T05:51:11Z</dcterms:created>
  <dcterms:modified xsi:type="dcterms:W3CDTF">2020-09-17T08:33:50Z</dcterms:modified>
</cp:coreProperties>
</file>