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mc:AlternateContent xmlns:mc="http://schemas.openxmlformats.org/markup-compatibility/2006">
    <mc:Choice Requires="x15">
      <x15ac:absPath xmlns:x15ac="http://schemas.microsoft.com/office/spreadsheetml/2010/11/ac" url="\\192.168.1.150\Contracte_soferi\Dashboard\sem II 2018\"/>
    </mc:Choice>
  </mc:AlternateContent>
  <xr:revisionPtr revIDLastSave="0" documentId="13_ncr:1_{45FDEC9A-7F0E-45BE-AEBE-F4F7DE4B3605}" xr6:coauthVersionLast="43" xr6:coauthVersionMax="43" xr10:uidLastSave="{00000000-0000-0000-0000-000000000000}"/>
  <workbookProtection lockStructure="1"/>
  <bookViews>
    <workbookView xWindow="-120" yWindow="-120" windowWidth="29040" windowHeight="15840" tabRatio="765" activeTab="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r:id="rId10"/>
    <sheet name="Sheet1" sheetId="46" r:id="rId11"/>
  </sheets>
  <definedNames>
    <definedName name="Component">Setup!$B$9:$B$14</definedName>
    <definedName name="Countries">Setup!$L$9:$L$143</definedName>
    <definedName name="Currency">Setup!$C$9:$C$11</definedName>
    <definedName name="Indicatori">'Introducerea datelor'!$G$118:$S$166</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datelor'!$A$1:$O$175</definedName>
    <definedName name="_xlnm.Print_Area" localSheetId="4">Management!$A$2:$L$34</definedName>
    <definedName name="_xlnm.Print_Area" localSheetId="6">Programatic!$B$1:$R$49</definedName>
    <definedName name="PrintA">Actiuni!$A$2:$L$34</definedName>
    <definedName name="PrintDataF">'Introducerea datelor'!$B$25:$J$67</definedName>
    <definedName name="PrintDataM">'Introducerea datelor'!$B$69:$H$113</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7" i="29" l="1"/>
  <c r="D54" i="29" l="1"/>
  <c r="E16" i="29" l="1"/>
  <c r="C102" i="29" l="1"/>
  <c r="C101" i="29"/>
  <c r="C100" i="29"/>
  <c r="C34" i="29"/>
  <c r="D34" i="29" s="1"/>
  <c r="C33" i="29"/>
  <c r="D33" i="29"/>
  <c r="H33" i="29"/>
  <c r="E33" i="29"/>
  <c r="F33" i="29"/>
  <c r="G33" i="29"/>
  <c r="E34" i="29"/>
  <c r="F34" i="29"/>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1" i="29" l="1"/>
  <c r="F123" i="29"/>
  <c r="F125" i="29"/>
  <c r="F127" i="29"/>
  <c r="F129" i="29"/>
  <c r="F131" i="29"/>
  <c r="F133" i="29"/>
  <c r="F135" i="29"/>
  <c r="F137" i="29"/>
  <c r="F139" i="29"/>
  <c r="F141" i="29"/>
  <c r="F143" i="29"/>
  <c r="F145" i="29"/>
  <c r="F147" i="29"/>
  <c r="F149" i="29"/>
  <c r="F151" i="29"/>
  <c r="F153" i="29"/>
  <c r="F155" i="29"/>
  <c r="F157" i="29"/>
  <c r="F159" i="29"/>
  <c r="F161" i="29"/>
  <c r="F163" i="29"/>
  <c r="F165" i="29"/>
  <c r="F119"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7" i="45"/>
  <c r="F47" i="45"/>
  <c r="E48" i="45"/>
  <c r="F48" i="45"/>
  <c r="E49" i="45"/>
  <c r="F49" i="45"/>
  <c r="E50" i="45"/>
  <c r="F50" i="45"/>
  <c r="E51" i="45"/>
  <c r="F51" i="45"/>
  <c r="E52" i="45"/>
  <c r="F52" i="45"/>
  <c r="E53" i="45"/>
  <c r="F53" i="45"/>
  <c r="E54" i="45"/>
  <c r="F54" i="45"/>
  <c r="E55" i="45"/>
  <c r="F55" i="45"/>
  <c r="E56" i="45"/>
  <c r="F56" i="45"/>
  <c r="E57" i="45"/>
  <c r="F57" i="45"/>
  <c r="E58" i="45"/>
  <c r="F58" i="45"/>
  <c r="D34" i="45"/>
  <c r="D35" i="45"/>
  <c r="D36" i="45"/>
  <c r="D37" i="45"/>
  <c r="D38" i="45"/>
  <c r="D39" i="45"/>
  <c r="D40" i="45"/>
  <c r="D41" i="45"/>
  <c r="D43" i="45"/>
  <c r="D44" i="45"/>
  <c r="D45" i="45"/>
  <c r="D47" i="45"/>
  <c r="D48" i="45"/>
  <c r="D49" i="45"/>
  <c r="D50" i="45"/>
  <c r="D51" i="45"/>
  <c r="D52" i="45"/>
  <c r="D53" i="45"/>
  <c r="D54" i="45"/>
  <c r="D55" i="45"/>
  <c r="D56" i="45"/>
  <c r="D57" i="45"/>
  <c r="D58" i="45"/>
  <c r="F33" i="45"/>
  <c r="E33" i="45"/>
  <c r="D33" i="45"/>
  <c r="C33" i="45"/>
  <c r="C34" i="45"/>
  <c r="C35" i="45"/>
  <c r="C36" i="45"/>
  <c r="C37" i="45"/>
  <c r="C38" i="45"/>
  <c r="C39" i="45"/>
  <c r="C40" i="45"/>
  <c r="C41" i="45"/>
  <c r="C43" i="45"/>
  <c r="C44" i="45"/>
  <c r="C45" i="45"/>
  <c r="C47" i="45"/>
  <c r="C48" i="45"/>
  <c r="C49" i="45"/>
  <c r="C50" i="45"/>
  <c r="C51" i="45"/>
  <c r="C52" i="45"/>
  <c r="C53" i="45"/>
  <c r="C54" i="45"/>
  <c r="C55" i="45"/>
  <c r="C56" i="45"/>
  <c r="C57" i="45"/>
  <c r="C58" i="45"/>
  <c r="E121" i="29"/>
  <c r="E123" i="29"/>
  <c r="E125" i="29"/>
  <c r="E127" i="29"/>
  <c r="E129" i="29"/>
  <c r="E131" i="29"/>
  <c r="E133" i="29"/>
  <c r="E135" i="29"/>
  <c r="E137" i="29"/>
  <c r="E139" i="29"/>
  <c r="E141" i="29"/>
  <c r="E143" i="29"/>
  <c r="E145" i="29"/>
  <c r="E147" i="29"/>
  <c r="E149" i="29"/>
  <c r="E151" i="29"/>
  <c r="E153" i="29"/>
  <c r="E155" i="29"/>
  <c r="E157" i="29"/>
  <c r="E159" i="29"/>
  <c r="E161" i="29"/>
  <c r="E163" i="29"/>
  <c r="E165" i="29"/>
  <c r="E119" i="29"/>
  <c r="B165" i="29"/>
  <c r="B163" i="29"/>
  <c r="B161" i="29"/>
  <c r="B159" i="29"/>
  <c r="B157" i="29"/>
  <c r="B155" i="29"/>
  <c r="B153" i="29"/>
  <c r="B151" i="29"/>
  <c r="B149" i="29"/>
  <c r="B147" i="29"/>
  <c r="B145" i="29"/>
  <c r="B143" i="29"/>
  <c r="B141" i="29"/>
  <c r="B139" i="29"/>
  <c r="B137" i="29"/>
  <c r="B135" i="29"/>
  <c r="B133" i="29"/>
  <c r="B121" i="29"/>
  <c r="B123" i="29"/>
  <c r="B125" i="29"/>
  <c r="B127" i="29"/>
  <c r="B129" i="29"/>
  <c r="N19" i="37" s="1"/>
  <c r="B131" i="29"/>
  <c r="B119" i="29"/>
  <c r="D19" i="37" l="1"/>
  <c r="H19" i="37"/>
  <c r="G16" i="29" l="1"/>
  <c r="F40" i="29" l="1"/>
  <c r="F41" i="29"/>
  <c r="F42" i="29"/>
  <c r="F43" i="29"/>
  <c r="F44" i="29"/>
  <c r="F45" i="29"/>
  <c r="F46" i="29"/>
  <c r="F47" i="29"/>
  <c r="F48" i="29"/>
  <c r="F39" i="29"/>
  <c r="E42" i="29"/>
  <c r="E43" i="29"/>
  <c r="E44" i="29"/>
  <c r="K27" i="30" l="1"/>
  <c r="J27" i="30"/>
  <c r="E40" i="29" l="1"/>
  <c r="E41" i="29"/>
  <c r="E45" i="29"/>
  <c r="E47" i="29"/>
  <c r="E39" i="29"/>
  <c r="I174" i="29" l="1"/>
  <c r="J174" i="29"/>
  <c r="K174" i="29"/>
  <c r="L174" i="29"/>
  <c r="I175" i="29"/>
  <c r="J175" i="29"/>
  <c r="K175" i="29"/>
  <c r="L175" i="29"/>
  <c r="I171" i="29"/>
  <c r="J171" i="29"/>
  <c r="K171" i="29"/>
  <c r="L171" i="29"/>
  <c r="I172" i="29"/>
  <c r="J172" i="29"/>
  <c r="K172" i="29"/>
  <c r="L172" i="29"/>
  <c r="I173" i="29"/>
  <c r="J173" i="29"/>
  <c r="K173" i="29"/>
  <c r="L173" i="29"/>
  <c r="H171" i="29"/>
  <c r="H172" i="29"/>
  <c r="H173" i="29"/>
  <c r="H174" i="29"/>
  <c r="H175" i="29"/>
  <c r="L170" i="29"/>
  <c r="I170" i="29"/>
  <c r="J170" i="29"/>
  <c r="K170" i="29"/>
  <c r="G13" i="27" l="1"/>
  <c r="B174" i="29" l="1"/>
  <c r="E174" i="29"/>
  <c r="F174" i="29"/>
  <c r="M174" i="29"/>
  <c r="N174" i="29"/>
  <c r="O174" i="29"/>
  <c r="P174" i="29"/>
  <c r="Q174" i="29"/>
  <c r="R174" i="29"/>
  <c r="S174" i="29"/>
  <c r="M175" i="29"/>
  <c r="N175" i="29"/>
  <c r="O175" i="29"/>
  <c r="P175" i="29"/>
  <c r="Q175" i="29"/>
  <c r="R175" i="29"/>
  <c r="S175" i="29"/>
  <c r="C49" i="29" l="1"/>
  <c r="D49" i="29"/>
  <c r="F49" i="29" l="1"/>
  <c r="E49" i="29"/>
  <c r="E54" i="29"/>
  <c r="E57" i="29"/>
  <c r="E56" i="29"/>
  <c r="N34" i="29"/>
  <c r="M34" i="29"/>
  <c r="L34" i="29"/>
  <c r="K34" i="29"/>
  <c r="J34" i="29"/>
  <c r="I34" i="29"/>
  <c r="H34" i="29"/>
  <c r="N33" i="29"/>
  <c r="M33" i="29"/>
  <c r="L33" i="29"/>
  <c r="K33" i="29"/>
  <c r="J33" i="29"/>
  <c r="I33" i="29"/>
  <c r="O31" i="29" l="1"/>
  <c r="E81" i="29"/>
  <c r="H170" i="29" l="1"/>
  <c r="D30" i="42" l="1"/>
  <c r="D37" i="42" l="1"/>
  <c r="R30" i="29" l="1"/>
  <c r="Q172" i="29"/>
  <c r="R172" i="29"/>
  <c r="Q173" i="29"/>
  <c r="R173" i="29"/>
  <c r="M172" i="29"/>
  <c r="N172" i="29"/>
  <c r="O172" i="29"/>
  <c r="P172" i="29"/>
  <c r="M173" i="29"/>
  <c r="N173" i="29"/>
  <c r="O173" i="29"/>
  <c r="P173" i="29"/>
  <c r="N8" i="37"/>
  <c r="B2" i="39"/>
  <c r="B2" i="42"/>
  <c r="C2" i="37"/>
  <c r="B2" i="35"/>
  <c r="B2" i="30"/>
  <c r="C2" i="45"/>
  <c r="B3" i="27"/>
  <c r="B2" i="1" s="1"/>
  <c r="I9" i="27"/>
  <c r="E53"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2" i="29"/>
  <c r="E91" i="29"/>
  <c r="D11" i="42"/>
  <c r="J3" i="35"/>
  <c r="L3" i="35"/>
  <c r="I3" i="30"/>
  <c r="K3" i="30"/>
  <c r="D33" i="42"/>
  <c r="D34" i="42"/>
  <c r="D35" i="42"/>
  <c r="D36" i="42"/>
  <c r="D38" i="42"/>
  <c r="D32" i="42"/>
  <c r="D31" i="42"/>
  <c r="E111" i="29"/>
  <c r="G111" i="29" s="1"/>
  <c r="I111" i="29" s="1"/>
  <c r="E110" i="29"/>
  <c r="G110" i="29" s="1"/>
  <c r="I110" i="29" s="1"/>
  <c r="E112" i="29"/>
  <c r="G112" i="29" s="1"/>
  <c r="I112" i="29" s="1"/>
  <c r="E113" i="29"/>
  <c r="G113" i="29" s="1"/>
  <c r="I113" i="29" s="1"/>
  <c r="K30" i="35"/>
  <c r="K31" i="35"/>
  <c r="K32" i="35"/>
  <c r="K33" i="35"/>
  <c r="M171" i="29"/>
  <c r="N171" i="29"/>
  <c r="O171" i="29"/>
  <c r="P171" i="29"/>
  <c r="Q171" i="29"/>
  <c r="R171" i="29"/>
  <c r="S171" i="29"/>
  <c r="S172" i="29"/>
  <c r="S173" i="29"/>
  <c r="M170" i="29"/>
  <c r="N170" i="29"/>
  <c r="O170" i="29"/>
  <c r="P170" i="29"/>
  <c r="Q170" i="29"/>
  <c r="R170" i="29"/>
  <c r="S170" i="29"/>
  <c r="F172" i="29"/>
  <c r="F170" i="29"/>
  <c r="E172" i="29"/>
  <c r="E170" i="29"/>
  <c r="B172" i="29"/>
  <c r="B170"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5" i="29"/>
  <c r="F20" i="42" s="1"/>
  <c r="G12" i="27"/>
  <c r="H4" i="1"/>
  <c r="G74"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69" i="29"/>
  <c r="R169" i="29"/>
  <c r="Q169" i="29"/>
  <c r="P169" i="29"/>
  <c r="O169" i="29"/>
  <c r="N169" i="29"/>
  <c r="M169" i="29"/>
  <c r="L169" i="29"/>
  <c r="K169" i="29"/>
  <c r="J169" i="29"/>
  <c r="I169" i="29"/>
  <c r="H169"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2" i="29"/>
  <c r="L35" i="29"/>
  <c r="M35" i="29"/>
  <c r="F35" i="37" l="1"/>
  <c r="G58" i="37"/>
  <c r="G54" i="37"/>
  <c r="G50" i="37"/>
  <c r="G46" i="37"/>
  <c r="G42" i="37"/>
  <c r="G38" i="37"/>
  <c r="F40" i="37"/>
  <c r="F44" i="37"/>
  <c r="F48" i="37"/>
  <c r="F52" i="37"/>
  <c r="F56" i="37"/>
  <c r="F36" i="37"/>
  <c r="G57" i="37"/>
  <c r="G53" i="37"/>
  <c r="G49" i="37"/>
  <c r="G45" i="37"/>
  <c r="G41" i="37"/>
  <c r="G37" i="37"/>
  <c r="F41" i="37"/>
  <c r="F45" i="37"/>
  <c r="H45" i="37" s="1"/>
  <c r="F49" i="37"/>
  <c r="F53" i="37"/>
  <c r="H53" i="37" s="1"/>
  <c r="F57" i="37"/>
  <c r="F37" i="37"/>
  <c r="G56" i="37"/>
  <c r="G52" i="37"/>
  <c r="G48" i="37"/>
  <c r="G44" i="37"/>
  <c r="G40" i="37"/>
  <c r="G36" i="37"/>
  <c r="F42" i="37"/>
  <c r="F46" i="37"/>
  <c r="F50" i="37"/>
  <c r="F54" i="37"/>
  <c r="H54" i="37" s="1"/>
  <c r="F58" i="37"/>
  <c r="F38" i="37"/>
  <c r="G55" i="37"/>
  <c r="G47" i="37"/>
  <c r="G43" i="37"/>
  <c r="G39" i="37"/>
  <c r="F43" i="37"/>
  <c r="F47" i="37"/>
  <c r="F55" i="37"/>
  <c r="G51" i="37"/>
  <c r="G35" i="37"/>
  <c r="F51" i="37"/>
  <c r="F39" i="37"/>
  <c r="H15" i="35"/>
  <c r="H22" i="30"/>
  <c r="B3" i="32"/>
  <c r="AE46" i="37"/>
  <c r="AC46" i="37"/>
  <c r="AG46" i="37"/>
  <c r="AF46" i="37"/>
  <c r="AE37" i="37"/>
  <c r="AD37" i="37"/>
  <c r="AC37" i="37"/>
  <c r="AG37" i="37"/>
  <c r="AF37" i="37"/>
  <c r="AD46" i="37"/>
  <c r="E20" i="42"/>
  <c r="K113" i="29"/>
  <c r="L33" i="35" s="1"/>
  <c r="J33" i="35"/>
  <c r="H7" i="35"/>
  <c r="D35" i="29"/>
  <c r="R32" i="29"/>
  <c r="B22" i="30"/>
  <c r="AC47" i="37"/>
  <c r="AG47" i="37"/>
  <c r="AD47" i="37"/>
  <c r="AE47" i="37"/>
  <c r="AF47" i="37"/>
  <c r="J30" i="35"/>
  <c r="K110" i="29"/>
  <c r="L30" i="35" s="1"/>
  <c r="K111" i="29"/>
  <c r="L31" i="35" s="1"/>
  <c r="J31" i="35"/>
  <c r="J32" i="35"/>
  <c r="K112" i="29"/>
  <c r="L32" i="35" s="1"/>
  <c r="H8" i="30"/>
  <c r="H26" i="35"/>
  <c r="B8" i="30"/>
  <c r="B7" i="35"/>
  <c r="B15" i="35"/>
  <c r="K35" i="29"/>
  <c r="I35" i="29"/>
  <c r="G35" i="29"/>
  <c r="R31" i="29"/>
  <c r="R34" i="29"/>
  <c r="F35" i="29"/>
  <c r="R51" i="29"/>
  <c r="Q53" i="29"/>
  <c r="E55" i="29"/>
  <c r="H55" i="37" l="1"/>
  <c r="H58" i="37"/>
  <c r="H57" i="37"/>
  <c r="H56" i="37"/>
  <c r="H51" i="37"/>
  <c r="H52" i="37"/>
  <c r="H49" i="37"/>
  <c r="H39" i="37"/>
  <c r="H35" i="37"/>
  <c r="H38" i="37"/>
  <c r="H48" i="37"/>
  <c r="H41" i="37"/>
  <c r="H40" i="37"/>
  <c r="H50" i="37"/>
  <c r="H47" i="37"/>
  <c r="H37" i="37"/>
  <c r="H43" i="37"/>
  <c r="H42"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4" authorId="1" shapeId="0" xr:uid="{00000000-0006-0000-0200-000002000000}">
      <text>
        <r>
          <rPr>
            <b/>
            <sz val="8"/>
            <color indexed="81"/>
            <rFont val="Tahoma"/>
            <family val="2"/>
            <charset val="204"/>
          </rPr>
          <t xml:space="preserve">If data are not available, do not enter zeros; rather, leave the cells in the table blank. </t>
        </r>
      </text>
    </comment>
    <comment ref="B75" authorId="1" shapeId="0" xr:uid="{00000000-0006-0000-0200-000003000000}">
      <text>
        <r>
          <rPr>
            <b/>
            <sz val="8"/>
            <color indexed="81"/>
            <rFont val="Tahoma"/>
            <family val="2"/>
            <charset val="204"/>
          </rPr>
          <t>If data are not available, do not enter zeros; rather, leave the cells in this table blank.</t>
        </r>
      </text>
    </comment>
    <comment ref="B81" authorId="0" shapeId="0" xr:uid="{00000000-0006-0000-0200-000004000000}">
      <text>
        <r>
          <rPr>
            <sz val="8"/>
            <color indexed="81"/>
            <rFont val="Tahoma"/>
            <family val="2"/>
            <charset val="204"/>
          </rPr>
          <t xml:space="preserve">If data are not available, do not enter zeros; rather, leave the cells in this table blank. </t>
        </r>
      </text>
    </comment>
    <comment ref="B96"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<sst xmlns="http://schemas.openxmlformats.org/spreadsheetml/2006/main" count="905" uniqueCount="537">
  <si>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</si>
  <si>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</si>
  <si>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</si>
  <si>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</si>
  <si>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</si>
  <si>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</si>
  <si>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</si>
  <si>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</si>
  <si>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</si>
  <si>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</si>
  <si>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</si>
  <si>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</si>
  <si>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</si>
  <si>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</si>
  <si>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</si>
  <si>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</si>
  <si>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</si>
  <si>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</si>
  <si>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</si>
  <si>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</si>
  <si>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</si>
  <si>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</si>
  <si>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</si>
  <si>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</si>
  <si>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</si>
  <si>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</si>
  <si>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</si>
  <si>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</si>
  <si>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</si>
  <si>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</si>
  <si>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</si>
  <si>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</si>
  <si>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</si>
  <si>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</si>
  <si>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</si>
  <si>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</si>
  <si>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</si>
  <si>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</si>
  <si>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</si>
  <si>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</si>
  <si>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</si>
  <si>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</si>
  <si>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</si>
  <si>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</si>
  <si>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</si>
  <si>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</si>
  <si>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</si>
  <si>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</si>
  <si>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</si>
  <si>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</si>
  <si>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</si>
  <si>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</si>
  <si>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</si>
  <si>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</si>
  <si>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</si>
  <si>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</si>
  <si>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</si>
  <si>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</si>
  <si>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</si>
  <si>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</si>
  <si>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</si>
  <si>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</si>
  <si>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</si>
  <si>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</si>
  <si>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</si>
  <si>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</si>
  <si>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</si>
  <si>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</si>
  <si>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</si>
  <si>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</si>
  <si>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</si>
  <si>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</si>
  <si>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</si>
  <si>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</si>
  <si>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</si>
  <si>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</si>
  <si>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</si>
  <si>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</si>
  <si>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</si>
  <si>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</si>
  <si>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</si>
  <si>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</si>
  <si>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</si>
  <si>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</si>
  <si>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</si>
  <si>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</si>
  <si>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</si>
  <si>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</si>
  <si>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</si>
  <si>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</si>
  <si>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</si>
  <si>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</si>
  <si>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</si>
  <si>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</si>
  <si>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</si>
  <si>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</si>
  <si>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</si>
  <si>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</si>
  <si>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</si>
  <si>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</si>
  <si>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</si>
  <si>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</si>
  <si>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</si>
  <si>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</si>
  <si>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</si>
  <si>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</si>
  <si>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</si>
  <si>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</si>
  <si>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</si>
  <si>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</si>
  <si>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</si>
  <si>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</si>
  <si>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</si>
  <si>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</si>
  <si>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</si>
  <si>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</si>
  <si>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</si>
  <si>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</si>
  <si>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</si>
  <si>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</si>
  <si>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</si>
  <si>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</si>
  <si>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</si>
  <si>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</si>
  <si>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</si>
  <si>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</si>
  <si>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</si>
  <si>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</si>
  <si>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</si>
  <si>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</si>
  <si>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</si>
  <si>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</si>
  <si>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</si>
  <si>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</si>
  <si>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</si>
  <si>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</si>
  <si>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</si>
  <si>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</si>
  <si>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</si>
  <si>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</si>
  <si>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</si>
  <si>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</si>
  <si>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</si>
  <si>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</si>
  <si>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</si>
  <si>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</si>
  <si>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</si>
  <si>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</si>
  <si>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</si>
  <si>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</si>
  <si>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</si>
  <si>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</si>
  <si>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</si>
  <si>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</si>
  <si>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</si>
  <si>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</si>
  <si>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</si>
  <si>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</si>
  <si>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</si>
  <si>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</si>
  <si>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</si>
  <si>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</si>
  <si>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</si>
  <si>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</si>
  <si>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</si>
  <si>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</si>
  <si>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</si>
  <si>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</si>
  <si>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</si>
  <si>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</si>
  <si>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</si>
  <si>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</si>
  <si>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</si>
  <si>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</si>
  <si>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</si>
  <si>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</si>
  <si>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</si>
  <si>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</si>
  <si>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</si>
  <si>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</si>
  <si>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</si>
  <si>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</si>
  <si>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</si>
  <si>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</si>
  <si>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</si>
  <si>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</si>
  <si>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</si>
  <si>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</si>
  <si>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</si>
  <si>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</si>
  <si>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</si>
  <si>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</si>
  <si>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</si>
  <si>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</si>
  <si>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</si>
  <si>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</si>
  <si>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</si>
  <si>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</si>
  <si>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</si>
  <si>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</si>
  <si>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</si>
  <si>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</si>
  <si>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</si>
  <si>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</si>
  <si>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</si>
  <si>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</si>
  <si>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</si>
  <si>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</si>
  <si>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</si>
  <si>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</si>
  <si>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</si>
  <si>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</si>
  <si>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</si>
  <si>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</si>
  <si>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</si>
  <si>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</si>
  <si>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</si>
  <si>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</si>
  <si>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</si>
  <si>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</si>
  <si>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</si>
  <si>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</si>
  <si>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</si>
  <si>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</si>
  <si>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</si>
  <si>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</si>
  <si>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</si>
  <si>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</si>
  <si>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</si>
  <si>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</si>
  <si>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</si>
  <si>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</si>
  <si>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</si>
  <si>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</si>
  <si>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</si>
  <si>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</si>
  <si>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</si>
  <si>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</si>
  <si>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</si>
  <si>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</si>
  <si>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</si>
  <si>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</si>
  <si>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</si>
  <si>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</si>
  <si>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</si>
  <si>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</si>
  <si>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</si>
  <si>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</si>
  <si>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</si>
  <si>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</si>
  <si>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</si>
  <si>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</si>
  <si>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</si>
  <si>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</si>
  <si>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</si>
  <si>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</si>
  <si>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</si>
  <si>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</si>
  <si>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</si>
  <si>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</si>
  <si>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</si>
  <si>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</si>
  <si>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</si>
  <si>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</si>
  <si>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</si>
  <si>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</si>
  <si>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</si>
  <si>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</si>
  <si>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</si>
  <si>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</si>
  <si>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</si>
  <si>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</si>
  <si>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</si>
  <si>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</si>
  <si>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</si>
  <si>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</si>
  <si>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</si>
  <si>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</si>
  <si>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</si>
  <si>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</si>
  <si>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</si>
  <si>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</si>
  <si>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</si>
  <si>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</si>
  <si>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</si>
  <si>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</si>
  <si>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</si>
  <si>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</si>
  <si>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</si>
  <si>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</si>
  <si>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</si>
  <si>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</si>
  <si>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</si>
  <si>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</si>
  <si>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</si>
  <si>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</si>
  <si>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</si>
  <si>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</si>
  <si>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</si>
  <si>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</si>
  <si>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</si>
  <si>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</si>
  <si>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</si>
  <si>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</si>
  <si>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</si>
  <si>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</si>
  <si>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</si>
  <si>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</si>
  <si>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</si>
  <si>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</si>
  <si>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</si>
  <si>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</si>
  <si>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</si>
  <si>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</si>
  <si>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</si>
  <si>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</si>
  <si>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</si>
  <si>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</si>
  <si>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</si>
  <si>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</si>
  <si>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</si>
  <si>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</si>
  <si>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</si>
  <si>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</si>
  <si>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</si>
  <si>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</si>
  <si>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</si>
  <si>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</si>
  <si>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</si>
  <si>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</si>
  <si>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</si>
  <si>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</si>
  <si>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</si>
  <si>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</si>
  <si>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</si>
  <si>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</si>
  <si>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</si>
  <si>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</si>
  <si>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</si>
  <si>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</si>
  <si>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</si>
  <si>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</si>
  <si>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</si>
  <si>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</si>
  <si>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</si>
  <si>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</si>
  <si>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</si>
  <si>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</si>
  <si>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</si>
  <si>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</si>
  <si>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</si>
  <si>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</si>
  <si>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</si>
  <si>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</si>
  <si>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</si>
  <si>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</si>
  <si>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</si>
  <si>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</si>
  <si>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</si>
  <si>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</si>
  <si>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</si>
  <si>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</si>
  <si>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</si>
  <si>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</si>
  <si>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</si>
  <si>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</si>
  <si>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</si>
  <si>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</si>
  <si>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</si>
  <si>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</si>
  <si>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</si>
  <si>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</si>
  <si>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</si>
  <si>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</si>
  <si>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</si>
  <si>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</si>
  <si>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</si>
  <si>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</si>
  <si>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</si>
  <si>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</si>
  <si>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</si>
  <si>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</si>
  <si>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</si>
  <si>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</si>
  <si>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</si>
  <si>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</si>
  <si>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</si>
  <si>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</si>
  <si>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</si>
  <si>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</si>
  <si>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</si>
  <si>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</si>
  <si>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</si>
  <si>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</si>
  <si>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</si>
  <si>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</si>
  <si>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</si>
  <si>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</si>
  <si>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</si>
  <si>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</si>
  <si>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</si>
  <si>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</si>
  <si>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</si>
  <si>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</si>
  <si>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</si>
  <si>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</si>
  <si>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</si>
  <si>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</si>
  <si>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</si>
  <si>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</si>
  <si>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</si>
  <si>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</si>
  <si>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</si>
  <si>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</si>
  <si>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</si>
  <si>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</si>
  <si>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</si>
  <si>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Recomandările cheie a Comisiei de Supraveghere</t>
  </si>
  <si>
    <t>IP UCIMP DS</t>
  </si>
  <si>
    <t>Tsovinar Sakanyan</t>
  </si>
  <si>
    <t xml:space="preserve">                               Introduceți datele pentru management în celulele albastre</t>
  </si>
  <si>
    <t>Consolidarea managementului, coordonării, monitorizării și evaluării Programului Național de control al tuberculozei</t>
  </si>
  <si>
    <t>Fortificarea managementului Programului</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</si>
  <si>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</si>
  <si>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</si>
  <si>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</si>
  <si>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 Include numai AFR categoriile 4,5 și 6  (Produse medicale și Echipamente medicale &amp; Medicamente și Produse farmaceutice)</t>
  </si>
  <si>
    <t>Angajamente</t>
  </si>
  <si>
    <t>Variația</t>
  </si>
  <si>
    <t>%</t>
  </si>
  <si>
    <t>MDA-C-PCIMU</t>
  </si>
  <si>
    <t>Consolidarea controlului tuberculozei și reducerea SIDA și a mortalității aferente în Republica Moldova</t>
  </si>
  <si>
    <t>Start date</t>
  </si>
  <si>
    <t>End data</t>
  </si>
  <si>
    <t>N/A</t>
  </si>
  <si>
    <t>Asigurarea accesului universal la diagnosticul la timp şi de calitate al tuturor formelor de tuberculoză, inclusiv celor cu TB-M/EDR</t>
  </si>
  <si>
    <t>Asigurarea accesului universal la tratamentul calitativ pentru toate formele de TB, inclusiv cu TB-M/EDR</t>
  </si>
  <si>
    <t>Sporirea accesului la servicii de prevenire a infecției HIV, pe bază de dovezi</t>
  </si>
  <si>
    <t>Asigurarea accesului universal la servicii de tratament, îngrijire și suport comprehensiv al infecției HIV</t>
  </si>
  <si>
    <t xml:space="preserve">Consolidarea capacităţii comunităților si asigurarea durabilităţii programului </t>
  </si>
  <si>
    <t>HIV I-4: Mortalitatea asociată cu SIDA la 100,000 populaţie</t>
  </si>
  <si>
    <t>Studiu Bio-comportamental (BSS)</t>
  </si>
  <si>
    <t xml:space="preserve">Numărător: Numărul de respondenți care au rezultat HIV pozitiv.                                                                                                             
Numitor: Numărul de respondenți testați pentru HIV.                                                                                       </t>
  </si>
  <si>
    <t xml:space="preserve">Numărător: Numărul de respondenți care au rezultat HIV pozitiv.
Numitor: Numărul de respondenți testați pentru HIV.    </t>
  </si>
  <si>
    <t>Indicator de impact</t>
  </si>
  <si>
    <t>HIV O-4a (M): Procentul BSB care raportează utilizarea prezervativului în timpul ultimului act de sex anal cu partenerul de gen masculin</t>
  </si>
  <si>
    <t>HIV O-5 (M): Procentul LSC care raportează utilizarea prezervativului cu ultimul lor client</t>
  </si>
  <si>
    <t>HIV O-6 (M): Procentul consumatorilor de droguri injectabile care raportează utilizarea setului pentru injectare steril la ultima injectare</t>
  </si>
  <si>
    <t xml:space="preserve">Numărător: Numărul de respondenți care au raportat utilizarea prezervativului cu ultimul lor client.
Numitor: Numărul de respondenți care au raportat practicarea sexului comercial în ultimele 12 luni.                                                             </t>
  </si>
  <si>
    <t xml:space="preserve">Numărător: Numărul de respondenți care au raportat utilizarea setului pentru injectare steril, la ultima consumare de droguri injectabile.
Numitor: Numărul de respondenți care au raportat consumarea de droguri injectabile în ultima lună.                                                                                    </t>
  </si>
  <si>
    <t>Indicator de rezultat</t>
  </si>
  <si>
    <t xml:space="preserve">KP-1d(M): Procentul consumatorilor de droguri injectabile acoperiți de programele de prevenire HIV - pachet definit de servicii </t>
  </si>
  <si>
    <t>KP-3d(M): Procentul consumatorilor de droguri injectabile care au fost testați pentru HIV în perioada de raportare și își cunosc rezultatele</t>
  </si>
  <si>
    <t xml:space="preserve">KP-1c(M): Procentul LSC acoperiți de programele de prevenire HIV - pachet definit de servicii </t>
  </si>
  <si>
    <t>KP-3c(M): Procentul LSC care au fost testați pentru HIV în perioada de raportare și își cunosc rezultatele</t>
  </si>
  <si>
    <t xml:space="preserve">KP-1a(M): Procentul BSB acoperiți de programele de prevenire HIV - pachet definit de servicii </t>
  </si>
  <si>
    <t>KP-3a(M): Procentul BSB care au fost testați pentru HIV în perioada de raportare și își cunosc rezultatele</t>
  </si>
  <si>
    <t xml:space="preserve">TCS-1 (M): Procentul adulţilor şi copiilor care trăiesc cu HIV și urmează tratament antiretroviral </t>
  </si>
  <si>
    <t>Indicator de proces</t>
  </si>
  <si>
    <t>HIV</t>
  </si>
  <si>
    <t>Definiție (din M&amp;E Plan)</t>
  </si>
  <si>
    <t>Column1</t>
  </si>
  <si>
    <t>Column2</t>
  </si>
  <si>
    <t>N</t>
  </si>
  <si>
    <t>Tip indicator</t>
  </si>
  <si>
    <t xml:space="preserve">Numărător: Numărul de respondenți care au raportat utilizarea prezervativului în timpul ultimului act de sex anal.                                                       
Numitor: Numărul de respondenți care au raportat practicarea sexului anal în ultimele 6 luni.                                                                                      </t>
  </si>
  <si>
    <t>Sistemul R&amp;R TB; Rapoarte trimestriale; SYME TB</t>
  </si>
  <si>
    <t xml:space="preserve">Componenta </t>
  </si>
  <si>
    <t>TB I-3(M): Rata mortalităţii  - Numărul estimat de decese cauzate de TB (toate formele) pe an, la 100,000 persoane</t>
  </si>
  <si>
    <t xml:space="preserve">TB I-4(M): Prevalența TB MDR printre cazurile noi de tuberculoză </t>
  </si>
  <si>
    <t xml:space="preserve">Numărător: Numărul de respondenți care au rezultat HIV pozitiv.                                                                                                             
Numitor: Numărul de respondenți testați pentru HIV.                                                   
                                </t>
  </si>
  <si>
    <t xml:space="preserve">Registru pacienți/ Registru Național Decese
</t>
  </si>
  <si>
    <t xml:space="preserve">Numărător: Numărul de decese cauzate de HIV/ SIDA într-o anumită perioadă de timp.                                                  Numitor: Adulți (15+): Numărul total al populației (per 100 000 persoane). Copii (&lt;15): Numărul total al populației (per 1 000 nou-născuți).                                      
                                </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</si>
  <si>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</si>
  <si>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 xml:space="preserve">HIV I-9a (M): Procentul BSB care trăiesc cu HIV </t>
  </si>
  <si>
    <t>HIV I-10 (M): Procentul LSC care trăiesc cu HIV</t>
  </si>
  <si>
    <t>HIV I-11 (M): Procentul consumatorilor de droguri injectabile care trăiesc cu HIV</t>
  </si>
  <si>
    <t xml:space="preserve">TB O-4(M): Rata succesului tratamentului pacienților cu RR TB și/sau MDR-TB </t>
  </si>
  <si>
    <t>TB O-1a: Rata de notificare a cazurilor de tuberculoză (toate formele) per 100,000 populație</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</si>
  <si>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</si>
  <si>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</si>
  <si>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de decese cauzate de TB (toate formele) înregistrate într-o anumită perioadă per 100,000 persoane.                                                                                                                                                      Numitor: Numărul total al populației în țară.</t>
  </si>
  <si>
    <t>TB O-5(M): Rata de acoperire cu tratament antituberculos</t>
  </si>
  <si>
    <t>Numărător: Number de cazuri noi și recidive notificate și acoperite cu tratament, during specified period of time.
Numitor: Numărul estimat de cazuri TB din același an (toate formele TB - bacteriologic confirmate și diagnosticate clinic), din baza de date a OMS (WHO Global TB).</t>
  </si>
  <si>
    <t>Sistemul R&amp;R TB; Rapoarte trimestriale; SYME TB
Date estimative ale OMS (WHO Global TB)</t>
  </si>
  <si>
    <t xml:space="preserve">HIV O-1 (M): Procentul adulţilor şi copiilor HIV infectaţi care se află în tratament 12 luni după iniţierea tratamentului antiretroviral </t>
  </si>
  <si>
    <t xml:space="preserve">Numărător: Numărul adulților și copiilor care sunt în viață și în terapie ARV 12 luni după inițierea tratamentului.
Numitor: Numărul total de adulți ăi copii care în perioada de raportare au facut 12 luni de la inițierea TARV.                                                                         
</t>
  </si>
  <si>
    <t>MDR TB-2(M): Numărul cazurilor de TB DR (RR-TB și/sau MDR-TB), confirmate bacteriologic, notificate</t>
  </si>
  <si>
    <t xml:space="preserve">MDR TB-3(M): Numărul cazurilor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</si>
  <si>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</si>
  <si>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</si>
  <si>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MDR TB-4: Rezultatul interimar de abandon al tratamentului cazurilor MDR-TB</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</si>
  <si>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</si>
  <si>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MDR TB-8: Numărul cazurilor de XDR TB incluși în tratament în perioada raportată</t>
  </si>
  <si>
    <t xml:space="preserve">Numărător: Numărul cazurilor de XDR TB incluși în tratament în perioada raportată.                                    Numitor: Nu este                                                            </t>
  </si>
  <si>
    <t xml:space="preserve">Forme de raportare ONG, bazate pe IDU Ident  
</t>
  </si>
  <si>
    <t xml:space="preserve">Forme de raportare ONG, bazate pe IDU Ident
</t>
  </si>
  <si>
    <t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t>
  </si>
  <si>
    <t xml:space="preserve">Numărător: Numărul de CDI respondenți, care au fost testați pentru HIV în perioada de raportare și își cunosc rezultatele.
Numitor: Numărul estimat de CDI în Rep. Moldova.      
</t>
  </si>
  <si>
    <t xml:space="preserve">Numărător: Numărul de BSB care au fost testați pentru HIV în perioada de raportare și își cunosc rezultatele.
Numitor: Numărul estimat de BSB în Rep. Moldova.   
</t>
  </si>
  <si>
    <t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t>
  </si>
  <si>
    <t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t>
  </si>
  <si>
    <t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t>
  </si>
  <si>
    <t xml:space="preserve">Numărător: Numărul de LSC care au fost testați pentru HIV în perioada de raportare și își cunosc rezultatele.                                                                                                                                                             Numitor: Numărul estimat de LSC în Rep. Moldova.                                                           </t>
  </si>
  <si>
    <t>Registrele pacienților în TARV (Centrele TARV)</t>
  </si>
  <si>
    <t xml:space="preserve">
BSS. Data de raportare - 31 August 2020
</t>
  </si>
  <si>
    <t>BSS. Data de raportare - 31 August 2020</t>
  </si>
  <si>
    <t>Contractul de Sub-recipient cu IMSP IFP ”Chiril Draganiuc” a fost semnat la 09 februarie 2018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</si>
  <si>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În perioada raportată Sub-Recipientii au prezentat cite două rapoarte trimestriale, in conformitate cu acordurile semnate.</t>
  </si>
  <si>
    <t>n/a</t>
  </si>
  <si>
    <t>Data de raportare - 31 August 2020. Datele sunt colectate și validate în conformitate cu rezultatele Studiului Bio-Comportamental (BSS).</t>
  </si>
  <si>
    <t>Toate posturile în cadrul echipei ce gestionează Grantul curent sunt ocupate.</t>
  </si>
  <si>
    <t>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(informație disponibilă anual, se va raporta în următoarea perioadă)
-Asigurarea cooperării cu Comitetul de Lumină Verde(GLC), inclusiv prin bugetarea și autorizarea transferului cotizațiilor anuale de maximum 50.000 USD. (se va raporta în următoarea perioadă)</t>
  </si>
  <si>
    <t>Indicatorul se raportează anual. Datele pentru anul 2018 vor fi disponibile începînd cu trimestrul III.2019, după publicarea raportului anual al OMS.</t>
  </si>
  <si>
    <t xml:space="preserve">Indicatorul se raportează anual. Datele finale pentru anul 2018 sunt raportabile către 15 august 2019.
</t>
  </si>
  <si>
    <t xml:space="preserve">Indicatorul se raportează anual. Datele pentru anul 2018 sunt raportabile către 15 august 2019.                                                                           
</t>
  </si>
  <si>
    <r>
      <rPr>
        <b/>
        <sz val="8"/>
        <rFont val="Calibri"/>
        <family val="2"/>
      </rPr>
      <t xml:space="preserve">Date preliminare pentru anul 2018. </t>
    </r>
    <r>
      <rPr>
        <sz val="8"/>
        <rFont val="Calibri"/>
        <family val="2"/>
      </rPr>
      <t xml:space="preserve">811 cazuri cu tuberculoză drog-rezistentă (RR-TB și/sau MDR-TB), confirmate bacteriologic, au fost notificate, față de 1 069 cazuri estimate pentru perioada raportată.                                                    
Notă - Reducerea numărului de pacienți MDR TB notificați este în directă corespundere cu scăderea incidenței TB.    </t>
    </r>
  </si>
  <si>
    <r>
      <rPr>
        <b/>
        <sz val="8"/>
        <rFont val="Calibri"/>
        <family val="2"/>
      </rPr>
      <t xml:space="preserve">Date preliminare pentru anul 2018. </t>
    </r>
    <r>
      <rPr>
        <sz val="8"/>
        <rFont val="Calibri"/>
        <family val="2"/>
      </rPr>
      <t xml:space="preserve">937 pacienți cu tuberculoză drog-rezistentă (RR-TB și/sau MDR-TB), confirmate bacteriologic, au demarat tratamentul DOTS-Plus în anul 2018, față de 1 061 pacienți estimați pentru perioada raportată.                                                                                                        </t>
    </r>
  </si>
  <si>
    <r>
      <rPr>
        <b/>
        <sz val="8"/>
        <rFont val="Calibri"/>
        <family val="2"/>
      </rPr>
      <t>Date preliminare pentru anul 2018.</t>
    </r>
    <r>
      <rPr>
        <sz val="8"/>
        <rFont val="Calibri"/>
        <family val="2"/>
      </rPr>
      <t xml:space="preserve"> 71 pacienți cu XDR TB au demarat tratamentul DOTS-Plus în anul 2018, față de 86 cazuri de XDR TB estimate pentru perioada raportată.                                                                                                   </t>
    </r>
  </si>
  <si>
    <r>
      <rPr>
        <b/>
        <sz val="8"/>
        <rFont val="Calibri"/>
        <family val="2"/>
      </rPr>
      <t>Date finale pentru anul 2018</t>
    </r>
    <r>
      <rPr>
        <sz val="8"/>
        <rFont val="Calibri"/>
        <family val="2"/>
      </rPr>
      <t>. 20 801 CDI au primit cel puțin două servicii, unul din care a fost schimbul de seringi, pe ambele maluri, din 36 900 CDI estimați pentru acoperire de programele de prevenire pentru CDI și partenerii lor în anul 2018.                                                                                                                                           Notă: Numărătorul este calculat reieșind din datele colectate la nivel național, care includ atât beneficiarii acoperiți din sursele FG, cât și cei acoperiți din sursele CNAM.</t>
    </r>
  </si>
  <si>
    <r>
      <rPr>
        <b/>
        <sz val="8"/>
        <rFont val="Calibri"/>
        <family val="2"/>
      </rPr>
      <t>Date finale pentru anul 2018</t>
    </r>
    <r>
      <rPr>
        <sz val="8"/>
        <rFont val="Calibri"/>
        <family val="2"/>
      </rPr>
      <t>. 5 431 LSC au fost testați pentru HIV și își cunosc rezultatele, din 21 300 LSC estimați pentru acoperire de programele comprehensive de prevenire pentru LSC și clienții lor în anul 2018.</t>
    </r>
  </si>
  <si>
    <r>
      <rPr>
        <b/>
        <sz val="8"/>
        <rFont val="Calibri"/>
        <family val="2"/>
      </rPr>
      <t>Date finale pentru anul 2018</t>
    </r>
    <r>
      <rPr>
        <sz val="8"/>
        <rFont val="Calibri"/>
        <family val="2"/>
      </rPr>
      <t>. 8 373 LSC au primit cel puțin două servicii, unul din care a fost distribuirea de prezervative, pe ambele maluri, din 21 300 LSC estimați pentru acoperire de programele comprehensive de prevenire pentru LSC și clienții lor în anul 2018.                                                      Notă: Numărătorul este calculat reieșind din datele colectate la nivel național, care includ atât beneficiarii acoperiți din sursele FG, cât și cei acoperiți din sursele CNAM.</t>
    </r>
  </si>
  <si>
    <r>
      <rPr>
        <b/>
        <sz val="8"/>
        <rFont val="Calibri"/>
        <family val="2"/>
      </rPr>
      <t>Date finale pentru anul 2018</t>
    </r>
    <r>
      <rPr>
        <sz val="8"/>
        <rFont val="Calibri"/>
        <family val="2"/>
      </rPr>
      <t xml:space="preserve">. 10 175 CDI au fost testați pentru HIV și își cunosc rezultatele, din 36 900 CDI estimați pentru acoperire de programele de prevenire pentru CDI și partenerii lor în anul 2018.          </t>
    </r>
  </si>
  <si>
    <r>
      <rPr>
        <b/>
        <sz val="8"/>
        <rFont val="Calibri"/>
        <family val="2"/>
      </rPr>
      <t>Date finale pentru anul 2018</t>
    </r>
    <r>
      <rPr>
        <sz val="8"/>
        <rFont val="Calibri"/>
        <family val="2"/>
      </rPr>
      <t>.  4 630 BSB au primit cel puțin două servicii, unul din care este obligatoriu distribuirea de prezervative sau lubrifianți, pe ambele maluri, din 17 100 BSB estimați pentru acoperire de programele comprehensive de prevenire pentru BSB în anul 2018.                                                        Notă: Numărătorul este calculat reieșind din datele colectate la nivel național, care includ atât beneficiarii acoperiți din sursele FG, cât și cei acoperiți din sursele CNAM.</t>
    </r>
  </si>
  <si>
    <r>
      <rPr>
        <b/>
        <sz val="8"/>
        <rFont val="Calibri"/>
        <family val="2"/>
      </rPr>
      <t xml:space="preserve">Date finale pentru anul 2018. </t>
    </r>
    <r>
      <rPr>
        <sz val="8"/>
        <rFont val="Calibri"/>
        <family val="2"/>
      </rPr>
      <t xml:space="preserve">Numărul pacienților în terapie ARV la data de 31.12.2018, a fost de 5.865, dintre care: 4.108 - pe malul drept (4.012 adulți și 96 copii (&lt;15 ani), 2.145 bărbați și 1.963 femei) și 1.757 persoane - pe malul stâng al Nistrului, inclusiv 1.727 adulți și 30 copii, 865 bărbați și 892 femei.
Dezagregare:
Bărbați: 29,4% (3,010 / 10,222)         
Femei:  50,9% (2,855 / 5,613)           
Adulți (15+): 36,5% (5,739 / 15,743)          
Copii (&lt;15): 137,0% (126 / 92)
</t>
    </r>
  </si>
  <si>
    <r>
      <rPr>
        <b/>
        <sz val="8"/>
        <rFont val="Calibri"/>
        <family val="2"/>
      </rPr>
      <t>Date finale pentru anul 2018</t>
    </r>
    <r>
      <rPr>
        <sz val="8"/>
        <rFont val="Calibri"/>
        <family val="2"/>
      </rPr>
      <t xml:space="preserve">. 2 848 BSB au fost testați pentru HIV și își cunosc rezultatele, din 17 100 BSB estimați pentru acoperire de programele comprehensive de prevenire pentru BSB în anul 2018. </t>
    </r>
  </si>
  <si>
    <t>Analiza stocului (la finele trim I 2019) medicamentelor antituberculoase de linia a II și a III, a numărului de pacienți în tratament la aceeași dată, arata prezența unui stock  între 4 și 6 luni, pentru preparatele de baza. În baza estimărilor respective a fost efectuată și plasată comanda pentru perioada ulterioară.</t>
  </si>
  <si>
    <t xml:space="preserve">Variația dintre bugetul aprobat și cheltuieli cumulative, se datorează in mare parte sumei de 195 mii USD plătite în avans în cadrul Grantul anterior pentru medicamentele antituberculoase de linia II și care urmează a fi dedusă din cadrul Grantului actual. </t>
  </si>
  <si>
    <r>
      <rPr>
        <b/>
        <sz val="8"/>
        <rFont val="Calibri"/>
        <family val="2"/>
      </rPr>
      <t>Date finale pentru anul 2017.</t>
    </r>
    <r>
      <rPr>
        <sz val="8"/>
        <rFont val="Calibri"/>
        <family val="2"/>
      </rPr>
      <t xml:space="preserve"> 94 pacienți din 984 incluși în tratamentul DOTS Plus în 2017, au abandonat tratamentul către luna a 6-a de la demararea acestuia.                                                                             Notă - Analiza cazurilor care au abandonat tratamentul pentru DR-TB ne arată că există o diferență a ratei abandonului printre diferite categorii de pacienți. Astfel, rata interimară de abandon printre cazurile noi de pacienți cu DR-TB aflați în tratament a constituit doar 5,8% (25/431), pe când printre cazurile de retratamente aceasta a constituit 12,5% (69/553). </t>
    </r>
    <r>
      <rPr>
        <b/>
        <sz val="8"/>
        <rFont val="Calibri"/>
        <family val="2"/>
      </rPr>
      <t xml:space="preserve">
</t>
    </r>
    <r>
      <rPr>
        <sz val="8"/>
        <rFont val="Calibri"/>
        <family val="2"/>
      </rPr>
      <t xml:space="preserve">           </t>
    </r>
  </si>
  <si>
    <r>
      <t xml:space="preserve">Date preliminare pentru anul 2018. </t>
    </r>
    <r>
      <rPr>
        <sz val="8"/>
        <rFont val="Calibri"/>
        <family val="2"/>
      </rPr>
      <t xml:space="preserve">3 022 cazuri de tuberculoză (toate formele, bacteriologic confirmate și diagnosticate clinic, cazuri noi și recidive) au fost notificate către autoritatea națională în anul 2018.                                                                                                                                                                                                                       Notă - Se constată o descreștere continuă a ratei de notificare înregistrate, precum urmează: cu 9,9% comparativ cu datele din 2017 (83,17 per 100 000), cu 6,2% comparativ cu datele din 2016 (88,63 per 100 000), cu 7,1% comparativ cu datele din 2015 (89,5 per 100 000), cu 10,1% comparativ cu datele din 2014 (92,5 per 100 000), cu 14,8% comparativ cu datele din 2013 (97,6 per 100 000) și cu 19% comparativ cu datele din 2012 (102,7 per 100 000).          </t>
    </r>
  </si>
  <si>
    <r>
      <rPr>
        <b/>
        <sz val="8"/>
        <rFont val="Calibri"/>
        <family val="2"/>
      </rPr>
      <t>Date finale pentru cohorta MDR-TB 2016.</t>
    </r>
    <r>
      <rPr>
        <sz val="8"/>
        <rFont val="Calibri"/>
        <family val="2"/>
      </rPr>
      <t xml:space="preserve"> 562 cazuri confirmate de TB MDR, din 1 033 incluse în tratmentul DOTS Plus în anul 2016, au fost tratate cu succes (vindecate și cu tratamente încheiate).         Notă - Totodată, rata de eșec înregistrată a fost de 13% (134/ 1 033), rata de abandon de 20,3% (210/ 1 033) și rata de deces de 12,2% (126/ 1 033). În același timp, analiza ratei succesului pe diferite categorii de pacienți a arătat o diferență între cazurile noi și cele de retratament. Astfel, rata de succes printre cazurile noi TB a constituit 68,4% (301/ 440), atunci cînd printre cele de retratament - 44% (261/ 593). De asemenea, rata de eșec înregistrată printre cazurile noi a fost de 6,4% (28/ 440) și printre retratamente - 17,9% (106/ 593); rata de abandon - 14,3% (63/ 440) și 24,8% (147/ 593) respectiv; și rata de deces - 10,9% (48/ 440) și 13,2% (78/ 593) respectiv.                </t>
    </r>
  </si>
  <si>
    <r>
      <rPr>
        <b/>
        <sz val="8"/>
        <rFont val="Calibri"/>
        <family val="2"/>
      </rPr>
      <t xml:space="preserve">Date preliminare pentru anul 2018. </t>
    </r>
    <r>
      <rPr>
        <sz val="8"/>
        <rFont val="Calibri"/>
        <family val="2"/>
      </rPr>
      <t xml:space="preserve">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t>
    </r>
  </si>
  <si>
    <r>
      <rPr>
        <b/>
        <sz val="8"/>
        <rFont val="Calibri"/>
        <family val="2"/>
      </rPr>
      <t xml:space="preserve">Date preliminare pentru anul 2018. </t>
    </r>
    <r>
      <rPr>
        <sz val="8"/>
        <rFont val="Calibri"/>
        <family val="2"/>
      </rPr>
      <t xml:space="preserve">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t>
    </r>
  </si>
  <si>
    <t xml:space="preserve">Date preliminare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t>
  </si>
  <si>
    <t xml:space="preserve">Date preliminare pentru anul 2018. 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t>
  </si>
  <si>
    <t>Indicatorul se raportează anual. Datele finale pentru anul 2018 sunt raportabile către 15 August 2019.</t>
  </si>
  <si>
    <t xml:space="preserve">TB: Obiectivul 1 „Asigurarea accesului universal la diagnosticul la timp şi de calitate al tuturor formelor de tuberculoză, inclusiv celor cu TB-M/EDR” - variația se datorează, în mare parte, economiilor acumulate în rezultatul procurării unor cantități mai mici de medii nutritive, conform solicitării Beneficiarului.
Obiectivul 2 „Asigurarea accesului universal la tratamentul calitativ pentru toate formele de TB, inclusiv cu TB-M/EDR” - variația se datorează sumei de 195 mii USD plătite în avans, în cadrul Grantul anterior, pentru medicamentele antituberculoase de linia II, și care urmează a fi dedusă din cadrul Grantului actual, la solictarea FG.                                       HIV/SIDA: Obiectivul 1 „Sporirea accesului la servicii de prevenire a infecției HIV, pe bază de dovezi” - variația se datorează câtorva factori - costuri mai mari suportate din cauza cursului valutar dezavantajos, servicii pentru un număr mai mare de beneficiari comparativ cu numărul planificat pentru anul respectiv, susținerea unor activități care nu au fost inițial planificate.
Obiectivul 2 „Asigurarea accesului universal la servicii de tratament, îngrijire și suport comprehensiv al infecției HIV” - variația se datorează costurilor mai mari la medicamente si a unor cantități de medicamente achiziționate (in special pentru regiunea transnistreana), comparativ cu planificarea inițială, si implicit cursul valutar dezavantajos menținut pe perioada de raportare.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</si>
</sst>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49">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rgb="FF00B050"/>
      <name val="Arial"/>
      <family val="2"/>
    </font>
    <font>
      <b/>
      <sz val="11"/>
      <color rgb="FF00B050"/>
      <name val="Arial"/>
      <family val="2"/>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4"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4" fillId="0" borderId="0"/>
    <xf numFmtId="164" fontId="104" fillId="0" borderId="0"/>
    <xf numFmtId="164" fontId="104" fillId="0" borderId="0"/>
    <xf numFmtId="164" fontId="104" fillId="0" borderId="0"/>
    <xf numFmtId="170" fontId="45" fillId="0" borderId="0"/>
    <xf numFmtId="9" fontId="3" fillId="0" borderId="0" applyFont="0" applyFill="0" applyBorder="0" applyAlignment="0" applyProtection="0"/>
    <xf numFmtId="164" fontId="104"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4" fillId="0" borderId="1" applyNumberFormat="0" applyFill="0" applyAlignment="0" applyProtection="0"/>
  </cellStyleXfs>
  <cellXfs count="942">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4" fillId="0" borderId="0" xfId="14" applyProtection="1"/>
    <xf numFmtId="164" fontId="8" fillId="0" borderId="0" xfId="14" applyFont="1" applyProtection="1"/>
    <xf numFmtId="170" fontId="11" fillId="0" borderId="0" xfId="14" applyNumberFormat="1" applyFont="1" applyBorder="1" applyProtection="1"/>
    <xf numFmtId="164" fontId="104" fillId="0" borderId="0" xfId="16" applyProtection="1"/>
    <xf numFmtId="164" fontId="104" fillId="0" borderId="0" xfId="16" applyFill="1" applyBorder="1" applyAlignment="1" applyProtection="1">
      <alignment horizontal="left"/>
    </xf>
    <xf numFmtId="170" fontId="0" fillId="0" borderId="0" xfId="0" applyFill="1" applyBorder="1" applyProtection="1"/>
    <xf numFmtId="164" fontId="104"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70" fontId="0" fillId="0" borderId="2" xfId="0" applyBorder="1"/>
    <xf numFmtId="170" fontId="0" fillId="0" borderId="0" xfId="0" applyFill="1" applyBorder="1" applyAlignment="1">
      <alignment horizontal="center"/>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70" fontId="54" fillId="0" borderId="0" xfId="0" applyFont="1" applyFill="1" applyBorder="1" applyAlignment="1" applyProtection="1">
      <alignment horizontal="left"/>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4"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4"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3" fontId="8" fillId="3" borderId="0" xfId="0" applyNumberFormat="1" applyFont="1" applyFill="1" applyProtection="1"/>
    <xf numFmtId="165" fontId="8" fillId="3" borderId="0" xfId="0" applyNumberFormat="1" applyFont="1" applyFill="1" applyProtection="1"/>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4" fillId="0" borderId="0" xfId="17" applyFill="1" applyBorder="1" applyAlignment="1" applyProtection="1">
      <alignment horizontal="center"/>
    </xf>
    <xf numFmtId="170" fontId="27" fillId="0" borderId="0" xfId="0" quotePrefix="1" applyFont="1" applyProtection="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66" fontId="0" fillId="0" borderId="0" xfId="0" applyNumberFormat="1" applyProtection="1"/>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2"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71" fillId="0" borderId="0" xfId="0" applyFont="1" applyFill="1" applyBorder="1" applyAlignment="1" applyProtection="1">
      <alignment horizontal="center" vertical="center"/>
    </xf>
    <xf numFmtId="170" fontId="4" fillId="0" borderId="33" xfId="0" applyFont="1" applyBorder="1" applyAlignment="1" applyProtection="1"/>
    <xf numFmtId="170" fontId="4" fillId="0" borderId="34" xfId="0" applyFont="1" applyBorder="1" applyAlignment="1" applyProtection="1"/>
    <xf numFmtId="170" fontId="18" fillId="0" borderId="35" xfId="0" applyFont="1" applyBorder="1" applyAlignment="1" applyProtection="1">
      <alignment vertical="distributed"/>
    </xf>
    <xf numFmtId="15" fontId="20" fillId="0" borderId="36" xfId="0" applyNumberFormat="1" applyFont="1" applyFill="1" applyBorder="1" applyAlignment="1" applyProtection="1">
      <alignment horizontal="center" vertical="center" wrapText="1"/>
    </xf>
    <xf numFmtId="170" fontId="19" fillId="0" borderId="37" xfId="0" applyFont="1" applyFill="1" applyBorder="1" applyAlignment="1" applyProtection="1"/>
    <xf numFmtId="15" fontId="19" fillId="0" borderId="2" xfId="0" applyNumberFormat="1" applyFont="1" applyFill="1" applyBorder="1" applyAlignment="1" applyProtection="1">
      <alignment horizontal="center"/>
    </xf>
    <xf numFmtId="15" fontId="19" fillId="0" borderId="38"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39" xfId="0" applyNumberFormat="1" applyFont="1" applyFill="1" applyBorder="1" applyAlignment="1" applyProtection="1">
      <alignment horizontal="center" wrapText="1"/>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70" fontId="0" fillId="0" borderId="40"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1" fillId="0" borderId="39" xfId="0" applyFont="1" applyFill="1" applyBorder="1" applyAlignment="1" applyProtection="1">
      <alignment horizontal="center" wrapText="1"/>
    </xf>
    <xf numFmtId="170" fontId="51" fillId="0" borderId="41" xfId="0" applyFont="1" applyFill="1" applyBorder="1" applyAlignment="1" applyProtection="1">
      <alignment horizontal="center" vertical="center"/>
    </xf>
    <xf numFmtId="170" fontId="17" fillId="0" borderId="0" xfId="0" applyFont="1" applyProtection="1"/>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2" xfId="0" applyFont="1" applyFill="1" applyBorder="1" applyAlignment="1" applyProtection="1">
      <alignment horizontal="center" wrapText="1"/>
    </xf>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49" fontId="0" fillId="0" borderId="0" xfId="0" applyNumberFormat="1" applyProtection="1"/>
    <xf numFmtId="3" fontId="0" fillId="0" borderId="2" xfId="0" applyNumberFormat="1" applyFill="1" applyBorder="1" applyProtection="1"/>
    <xf numFmtId="4" fontId="0" fillId="0" borderId="0" xfId="0" applyNumberFormat="1" applyProtection="1"/>
    <xf numFmtId="170" fontId="0" fillId="0" borderId="50" xfId="0" applyFill="1" applyBorder="1" applyAlignment="1" applyProtection="1">
      <alignment horizontal="center"/>
    </xf>
    <xf numFmtId="164" fontId="93" fillId="0" borderId="0" xfId="16" applyFont="1" applyFill="1" applyBorder="1" applyProtection="1"/>
    <xf numFmtId="3" fontId="21" fillId="9" borderId="45" xfId="0" applyNumberFormat="1" applyFont="1" applyFill="1" applyBorder="1" applyAlignment="1" applyProtection="1">
      <protection locked="0"/>
    </xf>
    <xf numFmtId="3" fontId="21" fillId="9" borderId="51"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2" xfId="0" applyNumberFormat="1" applyFont="1" applyFill="1" applyBorder="1" applyAlignment="1" applyProtection="1"/>
    <xf numFmtId="170" fontId="0" fillId="9" borderId="2" xfId="0" applyFill="1" applyBorder="1" applyProtection="1"/>
    <xf numFmtId="170" fontId="0" fillId="6" borderId="2" xfId="0" applyFill="1" applyBorder="1" applyProtection="1"/>
    <xf numFmtId="49" fontId="18" fillId="0" borderId="57" xfId="0" applyNumberFormat="1" applyFont="1" applyFill="1" applyBorder="1" applyAlignment="1" applyProtection="1">
      <alignment vertical="center" wrapText="1"/>
    </xf>
    <xf numFmtId="170" fontId="63" fillId="0" borderId="58" xfId="0" applyNumberFormat="1" applyFont="1" applyFill="1" applyBorder="1" applyAlignment="1" applyProtection="1">
      <alignment horizontal="center" vertical="center" wrapText="1"/>
    </xf>
    <xf numFmtId="170" fontId="63" fillId="0" borderId="59" xfId="0" applyNumberFormat="1" applyFont="1" applyFill="1" applyBorder="1" applyAlignment="1" applyProtection="1">
      <alignment horizontal="center" vertical="center" wrapText="1"/>
    </xf>
    <xf numFmtId="170" fontId="0" fillId="0" borderId="61" xfId="0" applyBorder="1" applyAlignment="1" applyProtection="1"/>
    <xf numFmtId="170" fontId="0" fillId="0" borderId="2" xfId="0" applyNumberFormat="1" applyFill="1" applyBorder="1" applyProtection="1"/>
    <xf numFmtId="164" fontId="104" fillId="9" borderId="62" xfId="23" applyFill="1" applyBorder="1" applyAlignment="1" applyProtection="1">
      <alignment vertical="center"/>
    </xf>
    <xf numFmtId="170" fontId="0" fillId="0" borderId="12" xfId="0" applyBorder="1" applyProtection="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NumberFormat="1" applyFill="1" applyBorder="1"/>
    <xf numFmtId="15" fontId="20" fillId="0" borderId="67"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170" fontId="0" fillId="0" borderId="44" xfId="0" applyNumberFormat="1" applyFill="1" applyBorder="1" applyProtection="1"/>
    <xf numFmtId="3" fontId="0" fillId="0" borderId="44" xfId="0" applyNumberFormat="1" applyFill="1" applyBorder="1" applyProtection="1"/>
    <xf numFmtId="168" fontId="0" fillId="0" borderId="44" xfId="0" applyNumberFormat="1" applyFill="1" applyBorder="1" applyAlignment="1" applyProtection="1">
      <alignment horizontal="center"/>
    </xf>
    <xf numFmtId="170" fontId="0" fillId="0" borderId="81" xfId="0" applyBorder="1" applyAlignment="1" applyProtection="1">
      <alignment horizontal="center" wrapText="1"/>
    </xf>
    <xf numFmtId="168" fontId="0" fillId="0" borderId="82" xfId="0" applyNumberFormat="1" applyFill="1" applyBorder="1" applyProtection="1"/>
    <xf numFmtId="168" fontId="0" fillId="0" borderId="83" xfId="0" applyNumberFormat="1" applyFill="1" applyBorder="1" applyProtection="1"/>
    <xf numFmtId="170" fontId="100" fillId="0" borderId="2" xfId="0" applyFont="1" applyFill="1" applyBorder="1" applyAlignment="1" applyProtection="1">
      <alignment horizontal="center"/>
    </xf>
    <xf numFmtId="170" fontId="100" fillId="10" borderId="2" xfId="0" applyFont="1" applyFill="1" applyBorder="1" applyAlignment="1" applyProtection="1">
      <alignment horizontal="center"/>
    </xf>
    <xf numFmtId="164" fontId="101" fillId="0" borderId="12" xfId="23" applyFont="1" applyFill="1" applyBorder="1" applyAlignment="1" applyProtection="1">
      <alignment vertical="center"/>
    </xf>
    <xf numFmtId="164" fontId="26" fillId="0" borderId="0" xfId="0" applyNumberFormat="1" applyFont="1" applyAlignment="1" applyProtection="1">
      <alignment horizontal="center"/>
    </xf>
    <xf numFmtId="170" fontId="51" fillId="0" borderId="84" xfId="0" applyFont="1" applyFill="1" applyBorder="1" applyAlignment="1" applyProtection="1">
      <alignment horizontal="center" vertical="center" wrapText="1"/>
    </xf>
    <xf numFmtId="170" fontId="100" fillId="0" borderId="78" xfId="0" applyFont="1" applyFill="1" applyBorder="1" applyAlignment="1" applyProtection="1">
      <alignment horizontal="center"/>
    </xf>
    <xf numFmtId="170" fontId="102" fillId="0" borderId="85"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5" fillId="0" borderId="0" xfId="0" applyFont="1" applyAlignment="1" applyProtection="1">
      <alignment horizontal="left" vertical="center"/>
    </xf>
    <xf numFmtId="170" fontId="0" fillId="0" borderId="0" xfId="0" applyAlignment="1" applyProtection="1">
      <alignment horizontal="center"/>
    </xf>
    <xf numFmtId="3" fontId="30" fillId="0" borderId="37" xfId="0" applyNumberFormat="1" applyFont="1" applyFill="1" applyBorder="1" applyAlignment="1" applyProtection="1">
      <alignment horizontal="center"/>
    </xf>
    <xf numFmtId="3" fontId="30" fillId="0" borderId="81"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0" fontId="51" fillId="0" borderId="88" xfId="0" applyFont="1" applyFill="1" applyBorder="1" applyAlignment="1" applyProtection="1">
      <alignment horizontal="center" vertical="center" wrapText="1"/>
    </xf>
    <xf numFmtId="170" fontId="38" fillId="0" borderId="89" xfId="0" applyNumberFormat="1" applyFont="1" applyFill="1" applyBorder="1" applyAlignment="1" applyProtection="1">
      <alignment horizontal="right"/>
    </xf>
    <xf numFmtId="170" fontId="51" fillId="0" borderId="90" xfId="0" applyFont="1" applyFill="1" applyBorder="1" applyAlignment="1" applyProtection="1">
      <alignment horizontal="center"/>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NumberFormat="1"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vertic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xf>
    <xf numFmtId="170" fontId="38" fillId="0" borderId="99"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3" fontId="80" fillId="9" borderId="45" xfId="0" applyNumberFormat="1" applyFont="1" applyFill="1" applyBorder="1" applyAlignment="1" applyProtection="1">
      <protection locked="0"/>
    </xf>
    <xf numFmtId="3" fontId="80" fillId="9" borderId="51"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2" xfId="0" applyNumberFormat="1" applyFont="1" applyFill="1" applyBorder="1" applyAlignment="1" applyProtection="1"/>
    <xf numFmtId="3" fontId="107" fillId="9" borderId="82" xfId="0" applyNumberFormat="1" applyFont="1" applyFill="1" applyBorder="1" applyAlignment="1" applyProtection="1">
      <alignment horizontal="centerContinuous"/>
    </xf>
    <xf numFmtId="171" fontId="21" fillId="0" borderId="0" xfId="0" applyNumberFormat="1" applyFont="1" applyAlignment="1" applyProtection="1">
      <alignment horizontal="center"/>
    </xf>
    <xf numFmtId="170" fontId="100"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70" fontId="34" fillId="0" borderId="0" xfId="0" applyFont="1" applyAlignment="1">
      <alignment horizontal="center"/>
    </xf>
    <xf numFmtId="170" fontId="34" fillId="0" borderId="0" xfId="0" applyFont="1" applyBorder="1" applyAlignment="1">
      <alignment horizontal="center"/>
    </xf>
    <xf numFmtId="170" fontId="112" fillId="0" borderId="0" xfId="0" applyFont="1" applyFill="1" applyBorder="1" applyAlignment="1" applyProtection="1">
      <alignment horizontal="right"/>
    </xf>
    <xf numFmtId="170" fontId="112" fillId="0" borderId="86" xfId="0" applyFont="1" applyFill="1" applyBorder="1" applyAlignment="1" applyProtection="1">
      <alignment horizontal="right"/>
    </xf>
    <xf numFmtId="3" fontId="14" fillId="9" borderId="45" xfId="0" applyNumberFormat="1" applyFont="1" applyFill="1" applyBorder="1" applyAlignment="1" applyProtection="1">
      <protection locked="0"/>
    </xf>
    <xf numFmtId="3" fontId="14" fillId="0" borderId="215" xfId="0" applyNumberFormat="1" applyFont="1" applyFill="1" applyBorder="1" applyAlignment="1" applyProtection="1"/>
    <xf numFmtId="1" fontId="14" fillId="3" borderId="106" xfId="0" applyNumberFormat="1" applyFont="1" applyFill="1" applyBorder="1" applyAlignment="1" applyProtection="1">
      <alignment horizontal="center"/>
    </xf>
    <xf numFmtId="3" fontId="106" fillId="0" borderId="17" xfId="0" applyNumberFormat="1" applyFont="1" applyFill="1" applyBorder="1" applyAlignment="1" applyProtection="1">
      <alignment horizontal="center"/>
    </xf>
    <xf numFmtId="170" fontId="106" fillId="0" borderId="0" xfId="0" applyFont="1" applyBorder="1" applyProtection="1"/>
    <xf numFmtId="1" fontId="106" fillId="0" borderId="106" xfId="0" applyNumberFormat="1" applyFont="1" applyFill="1" applyBorder="1" applyAlignment="1" applyProtection="1">
      <alignment horizontal="center"/>
    </xf>
    <xf numFmtId="9" fontId="113" fillId="0" borderId="0" xfId="0" applyNumberFormat="1" applyFont="1" applyFill="1" applyBorder="1" applyAlignment="1" applyProtection="1"/>
    <xf numFmtId="170" fontId="91" fillId="0" borderId="0" xfId="0" applyFont="1" applyFill="1" applyBorder="1" applyAlignment="1" applyProtection="1">
      <alignment horizontal="center" vertical="center"/>
    </xf>
    <xf numFmtId="9" fontId="113"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1" fillId="3" borderId="0" xfId="0" applyFont="1" applyFill="1" applyBorder="1" applyAlignment="1" applyProtection="1">
      <alignment horizontal="center" vertical="center"/>
    </xf>
    <xf numFmtId="170" fontId="114"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3" fillId="3" borderId="0" xfId="0" applyNumberFormat="1" applyFont="1" applyFill="1" applyBorder="1" applyProtection="1"/>
    <xf numFmtId="9" fontId="113"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5"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3" fillId="0" borderId="0" xfId="0" applyNumberFormat="1" applyFont="1" applyFill="1" applyBorder="1" applyProtection="1"/>
    <xf numFmtId="170" fontId="41" fillId="0" borderId="0" xfId="0" applyFont="1" applyFill="1" applyBorder="1" applyProtection="1"/>
    <xf numFmtId="170" fontId="117" fillId="0" borderId="0" xfId="0" applyFont="1" applyFill="1" applyBorder="1" applyProtection="1"/>
    <xf numFmtId="170" fontId="118" fillId="0" borderId="0" xfId="0" applyFont="1" applyFill="1" applyBorder="1" applyAlignment="1" applyProtection="1">
      <alignment horizontal="center" vertical="center"/>
    </xf>
    <xf numFmtId="170" fontId="119" fillId="0" borderId="0" xfId="0" applyFont="1" applyFill="1" applyBorder="1" applyAlignment="1" applyProtection="1">
      <alignment horizontal="center" vertical="center"/>
    </xf>
    <xf numFmtId="170" fontId="119" fillId="0" borderId="0" xfId="0" applyFont="1" applyFill="1" applyBorder="1" applyAlignment="1" applyProtection="1">
      <alignment horizontal="right" vertical="center" indent="1"/>
    </xf>
    <xf numFmtId="170" fontId="120" fillId="0" borderId="0" xfId="0" applyFont="1" applyFill="1" applyBorder="1" applyAlignment="1" applyProtection="1">
      <alignment horizontal="center"/>
    </xf>
    <xf numFmtId="170" fontId="51" fillId="0" borderId="69"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0"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6" xfId="0" applyNumberFormat="1" applyFont="1" applyFill="1" applyBorder="1" applyAlignment="1" applyProtection="1">
      <alignment vertical="center"/>
    </xf>
    <xf numFmtId="3" fontId="8" fillId="0" borderId="0" xfId="0" applyNumberFormat="1" applyFont="1" applyFill="1" applyProtection="1"/>
    <xf numFmtId="0" fontId="108" fillId="0" borderId="0" xfId="0" applyNumberFormat="1" applyFont="1" applyAlignment="1" applyProtection="1">
      <alignment horizontal="left" vertical="center"/>
    </xf>
    <xf numFmtId="3" fontId="107" fillId="22" borderId="83" xfId="0" applyNumberFormat="1" applyFont="1" applyFill="1" applyBorder="1" applyAlignment="1" applyProtection="1">
      <alignment horizontal="centerContinuous"/>
    </xf>
    <xf numFmtId="4" fontId="106" fillId="0" borderId="102" xfId="0" applyNumberFormat="1" applyFont="1" applyBorder="1" applyProtection="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3" fontId="0" fillId="0" borderId="0" xfId="0" applyNumberFormat="1" applyFill="1" applyProtection="1"/>
    <xf numFmtId="170" fontId="74" fillId="0" borderId="0" xfId="0" applyFont="1" applyFill="1" applyBorder="1" applyAlignment="1" applyProtection="1">
      <alignment horizontal="center"/>
    </xf>
    <xf numFmtId="3" fontId="21" fillId="9" borderId="221" xfId="0" applyNumberFormat="1" applyFont="1" applyFill="1" applyBorder="1" applyAlignment="1" applyProtection="1">
      <protection locked="0"/>
    </xf>
    <xf numFmtId="3" fontId="80" fillId="9" borderId="221" xfId="0" applyNumberFormat="1" applyFont="1" applyFill="1" applyBorder="1" applyAlignment="1" applyProtection="1">
      <protection locked="0"/>
    </xf>
    <xf numFmtId="4" fontId="106" fillId="0" borderId="103" xfId="0" applyNumberFormat="1" applyFont="1" applyBorder="1" applyProtection="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Fill="1" applyBorder="1" applyAlignment="1" applyProtection="1">
      <alignment horizontal="center" vertical="center"/>
    </xf>
    <xf numFmtId="3" fontId="45" fillId="0" borderId="20" xfId="0" applyNumberFormat="1" applyFont="1" applyFill="1" applyBorder="1" applyAlignment="1" applyProtection="1">
      <alignment horizontal="center" vertical="center"/>
    </xf>
    <xf numFmtId="4" fontId="45" fillId="0" borderId="2" xfId="0" applyNumberFormat="1" applyFont="1" applyFill="1" applyBorder="1" applyAlignment="1" applyProtection="1">
      <alignment horizontal="center" vertical="center"/>
    </xf>
    <xf numFmtId="175" fontId="45" fillId="10" borderId="2" xfId="0" applyNumberFormat="1" applyFont="1" applyFill="1" applyBorder="1" applyAlignment="1" applyProtection="1">
      <alignment horizontal="center" vertical="center"/>
    </xf>
    <xf numFmtId="3" fontId="45" fillId="10" borderId="20" xfId="0" applyNumberFormat="1" applyFont="1" applyFill="1" applyBorder="1" applyAlignment="1" applyProtection="1">
      <alignment horizontal="center" vertical="center"/>
    </xf>
    <xf numFmtId="175" fontId="45" fillId="0" borderId="78" xfId="0" applyNumberFormat="1" applyFont="1" applyFill="1" applyBorder="1" applyAlignment="1" applyProtection="1">
      <alignment horizontal="center" vertical="center"/>
    </xf>
    <xf numFmtId="3" fontId="45" fillId="0" borderId="79" xfId="0" applyNumberFormat="1" applyFont="1" applyFill="1" applyBorder="1" applyAlignment="1" applyProtection="1">
      <alignment horizontal="center" vertical="center"/>
    </xf>
    <xf numFmtId="2" fontId="0" fillId="0" borderId="0" xfId="0" applyNumberFormat="1"/>
    <xf numFmtId="14" fontId="47" fillId="0" borderId="2" xfId="0" applyNumberFormat="1" applyFont="1" applyFill="1" applyBorder="1" applyAlignment="1" applyProtection="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30" fillId="0" borderId="2" xfId="20" applyNumberFormat="1" applyFont="1" applyFill="1" applyBorder="1" applyAlignment="1" applyProtection="1">
      <alignment horizontal="center"/>
    </xf>
    <xf numFmtId="170" fontId="0" fillId="0" borderId="76" xfId="0" applyBorder="1"/>
    <xf numFmtId="170" fontId="103"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2" fillId="18" borderId="28" xfId="0" applyFont="1" applyFill="1" applyBorder="1" applyAlignment="1" applyProtection="1">
      <alignment vertical="center" wrapText="1"/>
      <protection locked="0"/>
    </xf>
    <xf numFmtId="170" fontId="132" fillId="18" borderId="29" xfId="0" applyFont="1" applyFill="1" applyBorder="1" applyAlignment="1" applyProtection="1">
      <alignment vertical="center" wrapText="1"/>
      <protection locked="0"/>
    </xf>
    <xf numFmtId="170" fontId="91" fillId="0" borderId="27" xfId="0" applyFont="1" applyFill="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2" fillId="18" borderId="28" xfId="0" applyFont="1" applyFill="1" applyBorder="1" applyAlignment="1" applyProtection="1">
      <alignment vertical="top" wrapText="1"/>
      <protection locked="0"/>
    </xf>
    <xf numFmtId="170" fontId="132" fillId="18" borderId="29" xfId="0" applyFont="1" applyFill="1" applyBorder="1" applyAlignment="1" applyProtection="1">
      <alignment vertical="top" wrapText="1"/>
      <protection locked="0"/>
    </xf>
    <xf numFmtId="170" fontId="103" fillId="0" borderId="2" xfId="0" applyFont="1" applyBorder="1" applyAlignment="1" applyProtection="1">
      <alignment vertical="center" wrapText="1"/>
      <protection locked="0"/>
    </xf>
    <xf numFmtId="170" fontId="91" fillId="0" borderId="2" xfId="0" applyFont="1" applyFill="1" applyBorder="1" applyAlignment="1" applyProtection="1">
      <alignment vertical="center" wrapText="1"/>
      <protection locked="0"/>
    </xf>
    <xf numFmtId="170" fontId="91" fillId="18" borderId="2" xfId="0" applyFont="1" applyFill="1" applyBorder="1" applyAlignment="1" applyProtection="1">
      <alignment vertical="center" wrapText="1"/>
      <protection locked="0"/>
    </xf>
    <xf numFmtId="170" fontId="91" fillId="0" borderId="2" xfId="0" applyFont="1" applyFill="1" applyBorder="1" applyAlignment="1" applyProtection="1">
      <alignment horizontal="justify" vertical="center" wrapText="1"/>
      <protection locked="0"/>
    </xf>
    <xf numFmtId="170" fontId="91" fillId="18" borderId="2" xfId="0" applyFont="1" applyFill="1" applyBorder="1" applyAlignment="1" applyProtection="1">
      <alignment horizontal="justify" vertical="center"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70" fontId="103" fillId="0" borderId="107" xfId="0" applyFont="1" applyBorder="1" applyAlignment="1" applyProtection="1">
      <alignment horizontal="justify" vertical="center" wrapText="1"/>
      <protection locked="0"/>
    </xf>
    <xf numFmtId="170" fontId="91" fillId="18" borderId="107" xfId="0" applyFont="1" applyFill="1" applyBorder="1" applyAlignment="1" applyProtection="1">
      <alignment horizontal="justify" vertical="center" wrapText="1"/>
      <protection locked="0"/>
    </xf>
    <xf numFmtId="170" fontId="91" fillId="18" borderId="109" xfId="0" applyFont="1" applyFill="1" applyBorder="1" applyAlignment="1" applyProtection="1">
      <alignment horizontal="justify" vertical="center" wrapText="1"/>
      <protection locked="0"/>
    </xf>
    <xf numFmtId="1" fontId="134" fillId="0" borderId="0" xfId="0" applyNumberFormat="1" applyFont="1" applyAlignment="1">
      <alignment vertical="center"/>
    </xf>
    <xf numFmtId="1" fontId="134" fillId="0" borderId="0" xfId="0" applyNumberFormat="1" applyFont="1" applyBorder="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applyAlignment="1"/>
    <xf numFmtId="170" fontId="66" fillId="5" borderId="27" xfId="0" applyFont="1" applyFill="1" applyBorder="1" applyAlignment="1">
      <alignment vertical="center" wrapText="1"/>
    </xf>
    <xf numFmtId="170" fontId="131"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applyAlignment="1"/>
    <xf numFmtId="170" fontId="65" fillId="5" borderId="28" xfId="0" applyFont="1" applyFill="1" applyBorder="1" applyAlignment="1"/>
    <xf numFmtId="170" fontId="65" fillId="5" borderId="29" xfId="0" applyFont="1" applyFill="1" applyBorder="1" applyAlignment="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Border="1" applyAlignment="1">
      <alignment wrapText="1"/>
    </xf>
    <xf numFmtId="170" fontId="59" fillId="6" borderId="27" xfId="0" applyFont="1" applyFill="1" applyBorder="1" applyAlignment="1"/>
    <xf numFmtId="170" fontId="59" fillId="6" borderId="28" xfId="0" applyFont="1" applyFill="1" applyBorder="1" applyAlignment="1"/>
    <xf numFmtId="170" fontId="59" fillId="6" borderId="29" xfId="0" applyFont="1" applyFill="1" applyBorder="1" applyAlignment="1"/>
    <xf numFmtId="170" fontId="0" fillId="0" borderId="0" xfId="0" applyBorder="1" applyAlignment="1"/>
    <xf numFmtId="170" fontId="61" fillId="0" borderId="27" xfId="0" applyFont="1" applyBorder="1" applyAlignment="1">
      <alignment vertical="center" wrapText="1"/>
    </xf>
    <xf numFmtId="164" fontId="10" fillId="14" borderId="0" xfId="12" applyFont="1" applyFill="1" applyAlignment="1" applyProtection="1">
      <alignment vertical="center"/>
    </xf>
    <xf numFmtId="170" fontId="59" fillId="9" borderId="27" xfId="0" applyFont="1" applyFill="1" applyBorder="1" applyAlignment="1"/>
    <xf numFmtId="170" fontId="59" fillId="9" borderId="28" xfId="0" applyFont="1" applyFill="1" applyBorder="1" applyAlignment="1"/>
    <xf numFmtId="170" fontId="59" fillId="9" borderId="29" xfId="0" applyFont="1" applyFill="1" applyBorder="1" applyAlignment="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applyAlignment="1"/>
    <xf numFmtId="170" fontId="137" fillId="0" borderId="0" xfId="0" applyFont="1" applyAlignment="1" applyProtection="1">
      <alignment horizontal="left" vertical="center"/>
    </xf>
    <xf numFmtId="170" fontId="141" fillId="0" borderId="2" xfId="0" applyFont="1" applyBorder="1" applyAlignment="1" applyProtection="1">
      <alignment vertical="center" wrapText="1"/>
      <protection locked="0"/>
    </xf>
    <xf numFmtId="170" fontId="140" fillId="0" borderId="2" xfId="0" applyFont="1" applyFill="1" applyBorder="1" applyAlignment="1" applyProtection="1">
      <alignment vertical="center" wrapText="1"/>
      <protection locked="0"/>
    </xf>
    <xf numFmtId="170" fontId="140" fillId="18" borderId="2" xfId="0" applyFont="1" applyFill="1" applyBorder="1" applyAlignment="1" applyProtection="1">
      <alignment vertical="center" wrapText="1"/>
      <protection locked="0"/>
    </xf>
    <xf numFmtId="170" fontId="140" fillId="18" borderId="27" xfId="0" applyFont="1" applyFill="1" applyBorder="1" applyAlignment="1" applyProtection="1">
      <alignment vertical="center" wrapText="1"/>
      <protection locked="0"/>
    </xf>
    <xf numFmtId="170" fontId="26" fillId="25" borderId="0" xfId="0" applyFont="1" applyFill="1" applyBorder="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0" fontId="91" fillId="18" borderId="27" xfId="0" applyFont="1" applyFill="1" applyBorder="1" applyAlignment="1" applyProtection="1">
      <alignment horizontal="left" vertical="center" wrapText="1"/>
      <protection locked="0"/>
    </xf>
    <xf numFmtId="2" fontId="0" fillId="0" borderId="0" xfId="0" applyNumberFormat="1" applyProtection="1"/>
    <xf numFmtId="2" fontId="0" fillId="0" borderId="0" xfId="0" applyNumberFormat="1" applyFill="1" applyProtection="1"/>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pplyProtection="1">
      <alignment horizontal="center"/>
    </xf>
    <xf numFmtId="170" fontId="85" fillId="0" borderId="0" xfId="0" applyFont="1" applyAlignment="1" applyProtection="1">
      <alignment horizontal="right"/>
    </xf>
    <xf numFmtId="170" fontId="85" fillId="0" borderId="0" xfId="0" applyFont="1" applyBorder="1" applyAlignment="1" applyProtection="1">
      <alignment horizontal="right"/>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71" fontId="17" fillId="6" borderId="25" xfId="20" applyNumberFormat="1" applyFont="1" applyFill="1" applyBorder="1" applyAlignment="1" applyProtection="1">
      <alignment horizontal="center"/>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70" fontId="27" fillId="0" borderId="2" xfId="0" applyFont="1" applyBorder="1" applyAlignment="1" applyProtection="1">
      <alignment horizontal="center" vertical="center" wrapText="1"/>
    </xf>
    <xf numFmtId="9" fontId="0" fillId="0" borderId="0" xfId="19" applyFont="1" applyProtection="1"/>
    <xf numFmtId="170" fontId="23" fillId="3" borderId="27" xfId="0" applyFont="1" applyFill="1" applyBorder="1" applyAlignment="1" applyProtection="1"/>
    <xf numFmtId="168" fontId="147" fillId="3" borderId="2" xfId="0" applyNumberFormat="1" applyFont="1" applyFill="1" applyBorder="1" applyAlignment="1" applyProtection="1">
      <alignment horizontal="center"/>
    </xf>
    <xf numFmtId="168" fontId="147" fillId="0" borderId="2" xfId="0" applyNumberFormat="1" applyFont="1" applyBorder="1" applyAlignment="1" applyProtection="1">
      <alignment horizontal="center"/>
    </xf>
    <xf numFmtId="168" fontId="148" fillId="23" borderId="68" xfId="0" applyNumberFormat="1" applyFont="1" applyFill="1" applyBorder="1" applyAlignment="1" applyProtection="1">
      <alignment horizontal="center"/>
    </xf>
    <xf numFmtId="168" fontId="23" fillId="23" borderId="68" xfId="0" applyNumberFormat="1" applyFont="1" applyFill="1" applyBorder="1" applyAlignment="1" applyProtection="1">
      <alignment horizontal="center"/>
    </xf>
    <xf numFmtId="170" fontId="23" fillId="3" borderId="43" xfId="0" applyFont="1" applyFill="1" applyBorder="1" applyAlignment="1" applyProtection="1"/>
    <xf numFmtId="168" fontId="147" fillId="3" borderId="44" xfId="0" applyNumberFormat="1" applyFont="1" applyFill="1" applyBorder="1" applyAlignment="1" applyProtection="1">
      <alignment horizontal="center"/>
    </xf>
    <xf numFmtId="168" fontId="147" fillId="0" borderId="44" xfId="0" applyNumberFormat="1" applyFont="1" applyBorder="1" applyAlignment="1" applyProtection="1">
      <alignment horizontal="center"/>
    </xf>
    <xf numFmtId="14" fontId="0" fillId="0" borderId="2" xfId="0" applyNumberFormat="1" applyBorder="1" applyAlignment="1" applyProtection="1">
      <alignment horizontal="center"/>
    </xf>
    <xf numFmtId="49" fontId="0" fillId="0" borderId="2" xfId="0" applyNumberFormat="1" applyBorder="1" applyAlignment="1" applyProtection="1">
      <alignment horizontal="center"/>
    </xf>
    <xf numFmtId="49" fontId="56" fillId="0" borderId="2" xfId="0" applyNumberFormat="1" applyFont="1" applyBorder="1" applyAlignment="1" applyProtection="1">
      <alignment horizontal="center" wrapText="1"/>
    </xf>
    <xf numFmtId="170" fontId="8" fillId="0" borderId="0" xfId="0" applyFont="1" applyFill="1" applyProtection="1"/>
    <xf numFmtId="166" fontId="8" fillId="3" borderId="0" xfId="0" applyNumberFormat="1" applyFont="1" applyFill="1" applyProtection="1"/>
    <xf numFmtId="170" fontId="8" fillId="3" borderId="0" xfId="0" applyFont="1" applyFill="1" applyProtection="1"/>
    <xf numFmtId="165" fontId="25" fillId="2" borderId="45" xfId="0" applyNumberFormat="1" applyFont="1" applyFill="1" applyBorder="1" applyAlignment="1" applyProtection="1">
      <alignment horizontal="center"/>
    </xf>
    <xf numFmtId="165" fontId="25" fillId="2" borderId="46" xfId="0" applyNumberFormat="1" applyFont="1" applyFill="1" applyBorder="1" applyAlignment="1" applyProtection="1">
      <alignment horizontal="center"/>
    </xf>
    <xf numFmtId="165" fontId="25" fillId="0" borderId="47" xfId="0" applyNumberFormat="1" applyFont="1" applyFill="1" applyBorder="1" applyAlignment="1" applyProtection="1">
      <alignment horizontal="center"/>
    </xf>
    <xf numFmtId="170" fontId="14" fillId="0" borderId="0" xfId="0" applyFont="1" applyFill="1" applyProtection="1"/>
    <xf numFmtId="3" fontId="14" fillId="18" borderId="45" xfId="0" applyNumberFormat="1" applyFont="1" applyFill="1" applyBorder="1" applyAlignment="1" applyProtection="1"/>
    <xf numFmtId="170" fontId="14" fillId="0" borderId="0" xfId="0" applyNumberFormat="1" applyFont="1" applyFill="1" applyProtection="1"/>
    <xf numFmtId="165" fontId="25" fillId="0" borderId="0" xfId="0" applyNumberFormat="1" applyFont="1" applyFill="1" applyBorder="1" applyAlignment="1" applyProtection="1">
      <alignment horizontal="center"/>
    </xf>
    <xf numFmtId="164" fontId="21" fillId="0" borderId="0" xfId="0" applyNumberFormat="1" applyFont="1" applyFill="1" applyBorder="1" applyAlignment="1" applyProtection="1"/>
    <xf numFmtId="49" fontId="19" fillId="0" borderId="60" xfId="0" applyNumberFormat="1" applyFont="1" applyFill="1" applyBorder="1" applyAlignment="1" applyProtection="1">
      <alignment horizontal="justify" wrapText="1"/>
    </xf>
    <xf numFmtId="49" fontId="19" fillId="0" borderId="60" xfId="0" applyNumberFormat="1" applyFont="1" applyFill="1" applyBorder="1" applyAlignment="1" applyProtection="1">
      <alignment horizontal="justify"/>
    </xf>
    <xf numFmtId="170" fontId="19" fillId="0" borderId="60" xfId="0" applyFont="1" applyFill="1" applyBorder="1" applyAlignment="1" applyProtection="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Fill="1" applyBorder="1" applyAlignment="1" applyProtection="1">
      <alignment horizontal="left"/>
    </xf>
    <xf numFmtId="164" fontId="32" fillId="0" borderId="0" xfId="23" applyFont="1" applyFill="1" applyBorder="1" applyAlignment="1" applyProtection="1">
      <alignment horizontal="center" vertical="center"/>
    </xf>
    <xf numFmtId="170" fontId="0" fillId="0" borderId="0" xfId="0" applyFill="1" applyBorder="1" applyAlignment="1" applyProtection="1">
      <alignment horizontal="left" vertical="top"/>
    </xf>
    <xf numFmtId="15" fontId="0" fillId="0" borderId="0" xfId="0" applyNumberFormat="1" applyFill="1" applyBorder="1" applyAlignment="1" applyProtection="1">
      <alignment horizontal="center"/>
    </xf>
    <xf numFmtId="3" fontId="106" fillId="3" borderId="17" xfId="0" applyNumberFormat="1" applyFont="1" applyFill="1" applyBorder="1" applyAlignment="1" applyProtection="1">
      <alignment horizontal="center"/>
    </xf>
    <xf numFmtId="165" fontId="25" fillId="2" borderId="48" xfId="0" applyNumberFormat="1" applyFont="1" applyFill="1" applyBorder="1" applyAlignment="1" applyProtection="1">
      <alignment horizontal="center"/>
    </xf>
    <xf numFmtId="165" fontId="25" fillId="2" borderId="49" xfId="0" applyNumberFormat="1" applyFont="1" applyFill="1" applyBorder="1" applyAlignment="1" applyProtection="1">
      <alignment horizontal="center"/>
    </xf>
    <xf numFmtId="3" fontId="0" fillId="0" borderId="0" xfId="0" applyNumberFormat="1" applyFill="1" applyBorder="1" applyProtection="1"/>
    <xf numFmtId="170" fontId="21" fillId="0" borderId="23" xfId="0" applyFont="1" applyBorder="1" applyAlignment="1" applyProtection="1">
      <alignment horizontal="center" wrapText="1"/>
    </xf>
    <xf numFmtId="170" fontId="0" fillId="0" borderId="23" xfId="0" applyBorder="1" applyAlignment="1" applyProtection="1">
      <alignment horizontal="center" wrapText="1"/>
    </xf>
    <xf numFmtId="49" fontId="0" fillId="6" borderId="2" xfId="0" applyNumberFormat="1" applyFill="1" applyBorder="1" applyProtection="1"/>
    <xf numFmtId="170" fontId="0" fillId="6" borderId="2" xfId="0" applyNumberFormat="1" applyFill="1" applyBorder="1" applyProtection="1"/>
    <xf numFmtId="3" fontId="0" fillId="6" borderId="2" xfId="0" applyNumberFormat="1" applyFill="1" applyBorder="1" applyProtection="1"/>
    <xf numFmtId="170" fontId="0" fillId="6" borderId="2" xfId="0" applyNumberFormat="1" applyFill="1" applyBorder="1" applyAlignment="1" applyProtection="1">
      <alignment horizontal="center"/>
    </xf>
    <xf numFmtId="49" fontId="0" fillId="6" borderId="44" xfId="0" applyNumberFormat="1" applyFill="1" applyBorder="1" applyAlignment="1" applyProtection="1">
      <alignment horizontal="left"/>
    </xf>
    <xf numFmtId="170" fontId="0" fillId="6" borderId="44" xfId="0" applyNumberFormat="1" applyFill="1" applyBorder="1" applyProtection="1"/>
    <xf numFmtId="3" fontId="0" fillId="6" borderId="44" xfId="0" applyNumberFormat="1" applyFill="1" applyBorder="1" applyProtection="1"/>
    <xf numFmtId="170" fontId="0" fillId="6" borderId="44" xfId="0" applyNumberFormat="1" applyFill="1" applyBorder="1" applyAlignment="1" applyProtection="1">
      <alignment horizontal="center"/>
    </xf>
    <xf numFmtId="170" fontId="0" fillId="5" borderId="63" xfId="0" applyFill="1" applyBorder="1" applyProtection="1"/>
    <xf numFmtId="165" fontId="7" fillId="2" borderId="55" xfId="0" applyNumberFormat="1" applyFont="1" applyFill="1" applyBorder="1" applyAlignment="1" applyProtection="1">
      <alignment horizontal="center"/>
    </xf>
    <xf numFmtId="165" fontId="7" fillId="2" borderId="56" xfId="0" applyNumberFormat="1" applyFont="1" applyFill="1" applyBorder="1" applyAlignment="1" applyProtection="1">
      <alignment horizontal="center"/>
    </xf>
    <xf numFmtId="2" fontId="133" fillId="0" borderId="222" xfId="0" applyNumberFormat="1" applyFont="1" applyBorder="1" applyAlignment="1" applyProtection="1"/>
    <xf numFmtId="170" fontId="0" fillId="0" borderId="80" xfId="0" applyBorder="1" applyProtection="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3" fontId="14" fillId="9" borderId="2" xfId="1" quotePrefix="1" applyNumberFormat="1" applyFont="1" applyFill="1" applyBorder="1" applyProtection="1">
      <protection locked="0"/>
    </xf>
    <xf numFmtId="3" fontId="14" fillId="9" borderId="2" xfId="1" applyNumberFormat="1" applyFont="1" applyFill="1" applyBorder="1" applyAlignment="1" applyProtection="1">
      <protection locked="0"/>
    </xf>
    <xf numFmtId="4" fontId="14" fillId="9" borderId="2" xfId="1" applyNumberFormat="1" applyFont="1" applyFill="1" applyBorder="1" applyAlignment="1" applyProtection="1">
      <protection locked="0"/>
    </xf>
    <xf numFmtId="3" fontId="14" fillId="9" borderId="104" xfId="1" applyNumberFormat="1" applyFont="1" applyFill="1" applyBorder="1" applyAlignment="1" applyProtection="1">
      <protection locked="0"/>
    </xf>
    <xf numFmtId="1" fontId="106" fillId="9" borderId="2" xfId="0" applyNumberFormat="1" applyFont="1" applyFill="1" applyBorder="1" applyAlignment="1" applyProtection="1">
      <alignment horizontal="center"/>
      <protection locked="0"/>
    </xf>
    <xf numFmtId="1" fontId="106" fillId="9" borderId="38" xfId="0" applyNumberFormat="1" applyFont="1" applyFill="1" applyBorder="1" applyAlignment="1" applyProtection="1">
      <alignment horizontal="center"/>
      <protection locked="0"/>
    </xf>
    <xf numFmtId="1" fontId="106" fillId="9" borderId="52" xfId="0" applyNumberFormat="1" applyFont="1" applyFill="1" applyBorder="1" applyAlignment="1" applyProtection="1">
      <alignment horizontal="center"/>
      <protection locked="0"/>
    </xf>
    <xf numFmtId="1" fontId="106"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6" fillId="6" borderId="31" xfId="0" applyNumberFormat="1" applyFont="1" applyFill="1" applyBorder="1" applyAlignment="1" applyProtection="1">
      <alignment horizontal="center"/>
      <protection locked="0"/>
    </xf>
    <xf numFmtId="3" fontId="106" fillId="6" borderId="17" xfId="0" applyNumberFormat="1" applyFont="1" applyFill="1" applyBorder="1" applyAlignment="1" applyProtection="1">
      <alignment horizontal="center"/>
      <protection locked="0"/>
    </xf>
    <xf numFmtId="1" fontId="106" fillId="6" borderId="2" xfId="0" applyNumberFormat="1" applyFont="1" applyFill="1" applyBorder="1" applyAlignment="1" applyProtection="1">
      <alignment horizontal="center"/>
      <protection locked="0"/>
    </xf>
    <xf numFmtId="1" fontId="106" fillId="6" borderId="31" xfId="0" applyNumberFormat="1" applyFont="1" applyFill="1" applyBorder="1" applyAlignment="1" applyProtection="1">
      <alignment horizontal="center"/>
      <protection locked="0"/>
    </xf>
    <xf numFmtId="3" fontId="106"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6" fillId="0" borderId="2" xfId="0" applyNumberFormat="1" applyFont="1" applyFill="1" applyBorder="1" applyProtection="1">
      <protection locked="0"/>
    </xf>
    <xf numFmtId="3" fontId="106"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6" fillId="0" borderId="82" xfId="0" applyNumberFormat="1" applyFont="1" applyBorder="1" applyAlignment="1" applyProtection="1">
      <alignment horizontal="right" wrapText="1"/>
      <protection locked="0"/>
    </xf>
    <xf numFmtId="3" fontId="106" fillId="0" borderId="44" xfId="0" applyNumberFormat="1" applyFont="1" applyFill="1" applyBorder="1" applyProtection="1">
      <protection locked="0"/>
    </xf>
    <xf numFmtId="3" fontId="106"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6"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100"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2" fontId="51" fillId="5" borderId="2"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76" fontId="45" fillId="20" borderId="2" xfId="0" applyNumberFormat="1" applyFont="1" applyFill="1" applyBorder="1" applyAlignment="1" applyProtection="1">
      <alignment horizontal="center" vertical="center"/>
      <protection locked="0"/>
    </xf>
    <xf numFmtId="168" fontId="100"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76" fontId="51" fillId="20" borderId="2"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45" fillId="5" borderId="2" xfId="19" applyNumberFormat="1" applyFont="1" applyFill="1" applyBorder="1" applyAlignment="1" applyProtection="1">
      <alignment horizontal="center" vertical="center"/>
      <protection locked="0"/>
    </xf>
    <xf numFmtId="10" fontId="100" fillId="5" borderId="2" xfId="19"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45" fillId="7" borderId="2" xfId="0" applyNumberFormat="1" applyFont="1" applyFill="1" applyBorder="1" applyAlignment="1" applyProtection="1">
      <alignment horizontal="center" vertical="center"/>
      <protection locked="0"/>
    </xf>
    <xf numFmtId="3" fontId="100"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75"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100" fillId="7" borderId="2" xfId="0" applyNumberFormat="1" applyFont="1" applyFill="1" applyBorder="1" applyAlignment="1" applyProtection="1">
      <alignment horizontal="right"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2"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 xfId="0" applyNumberFormat="1" applyFont="1" applyFill="1" applyBorder="1" applyAlignment="1" applyProtection="1">
      <alignment horizontal="right" vertical="center"/>
      <protection locked="0"/>
    </xf>
    <xf numFmtId="3" fontId="45" fillId="12" borderId="20" xfId="0" applyNumberFormat="1" applyFont="1" applyFill="1" applyBorder="1" applyAlignment="1" applyProtection="1">
      <alignment vertical="center"/>
      <protection locked="0"/>
    </xf>
    <xf numFmtId="176" fontId="45" fillId="7" borderId="2" xfId="0" applyNumberFormat="1" applyFont="1" applyFill="1" applyBorder="1" applyAlignment="1" applyProtection="1">
      <alignment horizontal="center" vertical="center"/>
      <protection locked="0"/>
    </xf>
    <xf numFmtId="176" fontId="51" fillId="7" borderId="2" xfId="0" applyNumberFormat="1" applyFont="1" applyFill="1" applyBorder="1" applyAlignment="1" applyProtection="1">
      <alignment horizontal="center" vertical="center"/>
      <protection locked="0"/>
    </xf>
    <xf numFmtId="1" fontId="45" fillId="7" borderId="2" xfId="0" applyNumberFormat="1" applyFont="1" applyFill="1" applyBorder="1" applyAlignment="1" applyProtection="1">
      <alignment horizontal="center" vertical="center"/>
      <protection locked="0"/>
    </xf>
    <xf numFmtId="1" fontId="51" fillId="7" borderId="2" xfId="0" applyNumberFormat="1" applyFont="1" applyFill="1" applyBorder="1" applyAlignment="1" applyProtection="1">
      <alignment horizontal="center" vertical="center"/>
      <protection locked="0"/>
    </xf>
    <xf numFmtId="1" fontId="51" fillId="12"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right" vertical="center"/>
      <protection locked="0"/>
    </xf>
    <xf numFmtId="3" fontId="51" fillId="12" borderId="20" xfId="0" applyNumberFormat="1" applyFont="1" applyFill="1" applyBorder="1" applyAlignment="1" applyProtection="1">
      <alignment vertical="center"/>
      <protection locked="0"/>
    </xf>
    <xf numFmtId="10"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applyProtection="1"/>
    <xf numFmtId="164" fontId="0" fillId="0" borderId="0" xfId="0" applyNumberFormat="1" applyProtection="1"/>
    <xf numFmtId="164" fontId="9" fillId="0" borderId="0" xfId="13" applyFont="1" applyFill="1" applyAlignment="1" applyProtection="1">
      <alignment vertical="center"/>
    </xf>
    <xf numFmtId="170" fontId="23" fillId="5" borderId="0" xfId="0" applyFont="1" applyFill="1" applyBorder="1" applyAlignment="1" applyProtection="1">
      <alignment horizontal="left"/>
    </xf>
    <xf numFmtId="170" fontId="106" fillId="0" borderId="0" xfId="0" applyFont="1" applyBorder="1" applyAlignment="1" applyProtection="1">
      <alignment horizontal="left"/>
    </xf>
    <xf numFmtId="22" fontId="0" fillId="0" borderId="0" xfId="0" applyNumberFormat="1" applyProtection="1"/>
    <xf numFmtId="170" fontId="0" fillId="0" borderId="0" xfId="0" applyBorder="1" applyAlignment="1" applyProtection="1">
      <alignment horizontal="center"/>
    </xf>
    <xf numFmtId="2" fontId="104" fillId="0" borderId="0" xfId="20" applyNumberFormat="1" applyFill="1" applyBorder="1" applyAlignment="1" applyProtection="1">
      <alignment horizontal="center"/>
    </xf>
    <xf numFmtId="15" fontId="0"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54" fillId="3" borderId="0" xfId="0" applyNumberFormat="1" applyFont="1" applyFill="1" applyBorder="1" applyAlignment="1" applyProtection="1">
      <alignment horizontal="center"/>
    </xf>
    <xf numFmtId="170" fontId="122" fillId="0" borderId="0" xfId="0" applyFont="1" applyProtection="1"/>
    <xf numFmtId="170" fontId="1" fillId="0" borderId="0" xfId="0" applyFont="1" applyBorder="1" applyAlignment="1" applyProtection="1"/>
    <xf numFmtId="170" fontId="1" fillId="0" borderId="0" xfId="0" applyFont="1" applyFill="1" applyBorder="1" applyAlignment="1" applyProtection="1"/>
    <xf numFmtId="170" fontId="55" fillId="0" borderId="0" xfId="0" applyFont="1" applyProtection="1"/>
    <xf numFmtId="170" fontId="21" fillId="0" borderId="0" xfId="0" applyFont="1" applyFill="1" applyBorder="1" applyAlignment="1" applyProtection="1">
      <alignment vertical="center" wrapText="1"/>
    </xf>
    <xf numFmtId="170" fontId="21" fillId="0" borderId="0" xfId="0" applyFont="1" applyFill="1" applyBorder="1" applyAlignment="1" applyProtection="1">
      <alignment horizontal="center"/>
    </xf>
    <xf numFmtId="170" fontId="0" fillId="3" borderId="0" xfId="0" applyFill="1" applyBorder="1" applyAlignment="1" applyProtection="1">
      <alignment horizontal="center"/>
    </xf>
    <xf numFmtId="164" fontId="9" fillId="0" borderId="0" xfId="4" applyFont="1" applyFill="1" applyAlignment="1" applyProtection="1">
      <alignment vertical="center"/>
    </xf>
    <xf numFmtId="170" fontId="123" fillId="0" borderId="0" xfId="0" applyFont="1" applyProtection="1"/>
    <xf numFmtId="170" fontId="125" fillId="5" borderId="0" xfId="0" applyFont="1" applyFill="1" applyBorder="1" applyAlignment="1" applyProtection="1">
      <alignment horizontal="left"/>
    </xf>
    <xf numFmtId="170" fontId="121" fillId="0" borderId="0" xfId="0" applyFont="1" applyProtection="1"/>
    <xf numFmtId="170" fontId="123" fillId="0" borderId="0" xfId="0" applyFont="1" applyBorder="1" applyAlignment="1" applyProtection="1">
      <alignment horizontal="left" wrapText="1"/>
    </xf>
    <xf numFmtId="170" fontId="27" fillId="0" borderId="0" xfId="0" applyFont="1" applyFill="1" applyAlignment="1" applyProtection="1">
      <alignment horizontal="left"/>
    </xf>
    <xf numFmtId="170" fontId="27" fillId="0" borderId="0" xfId="0" applyFont="1" applyFill="1" applyBorder="1" applyAlignment="1" applyProtection="1">
      <alignment horizontal="left"/>
    </xf>
    <xf numFmtId="170" fontId="135" fillId="0" borderId="0" xfId="0" applyFont="1" applyAlignment="1" applyProtection="1">
      <alignment horizontal="center" vertical="center"/>
    </xf>
    <xf numFmtId="170" fontId="106" fillId="0" borderId="0" xfId="0" applyFont="1" applyProtection="1"/>
    <xf numFmtId="171" fontId="21" fillId="0" borderId="0" xfId="0" applyNumberFormat="1" applyFont="1" applyProtection="1"/>
    <xf numFmtId="170" fontId="6" fillId="0" borderId="0" xfId="0" applyFont="1" applyProtection="1"/>
    <xf numFmtId="170" fontId="136" fillId="0" borderId="0" xfId="0" applyFont="1" applyAlignment="1" applyProtection="1">
      <alignment horizontal="center" vertical="center"/>
    </xf>
    <xf numFmtId="170" fontId="138" fillId="0" borderId="0" xfId="0" applyFont="1" applyProtection="1"/>
    <xf numFmtId="170" fontId="139" fillId="0" borderId="0" xfId="0" applyFont="1" applyAlignment="1" applyProtection="1">
      <alignment horizontal="center"/>
    </xf>
    <xf numFmtId="170" fontId="139" fillId="0" borderId="0" xfId="0" applyFont="1" applyProtection="1"/>
    <xf numFmtId="170" fontId="143" fillId="0" borderId="0" xfId="0" applyFont="1" applyProtection="1"/>
    <xf numFmtId="170" fontId="27" fillId="5" borderId="0" xfId="0" applyFont="1" applyFill="1" applyBorder="1" applyAlignment="1" applyProtection="1">
      <alignment horizontal="right" vertical="top" wrapText="1"/>
    </xf>
    <xf numFmtId="170" fontId="23" fillId="5" borderId="0" xfId="0" applyFont="1" applyFill="1" applyBorder="1" applyAlignment="1" applyProtection="1">
      <alignment horizontal="right" vertical="top" wrapText="1"/>
    </xf>
    <xf numFmtId="3" fontId="144" fillId="3" borderId="3" xfId="0" applyNumberFormat="1" applyFont="1" applyFill="1" applyBorder="1" applyAlignment="1" applyProtection="1">
      <alignment horizontal="right"/>
    </xf>
    <xf numFmtId="3" fontId="144" fillId="3" borderId="3" xfId="1" applyNumberFormat="1" applyFont="1" applyFill="1" applyBorder="1" applyProtection="1"/>
    <xf numFmtId="9" fontId="144" fillId="3" borderId="3" xfId="19" applyFont="1" applyFill="1" applyBorder="1" applyProtection="1"/>
    <xf numFmtId="170" fontId="144" fillId="0" borderId="0" xfId="0" applyFont="1" applyProtection="1"/>
    <xf numFmtId="170" fontId="145" fillId="0" borderId="0" xfId="0" applyFont="1" applyProtection="1"/>
    <xf numFmtId="2" fontId="135" fillId="0" borderId="0" xfId="0" applyNumberFormat="1" applyFont="1" applyAlignment="1" applyProtection="1">
      <alignment horizontal="center" vertical="center"/>
    </xf>
    <xf numFmtId="9" fontId="144" fillId="3" borderId="3" xfId="19" applyNumberFormat="1" applyFont="1" applyFill="1" applyBorder="1" applyProtection="1"/>
    <xf numFmtId="170" fontId="144" fillId="3" borderId="3" xfId="0" applyFont="1" applyFill="1" applyBorder="1" applyProtection="1"/>
    <xf numFmtId="9" fontId="144" fillId="3" borderId="3" xfId="19" applyFont="1" applyFill="1" applyBorder="1" applyAlignment="1" applyProtection="1">
      <alignment horizontal="center"/>
    </xf>
    <xf numFmtId="164" fontId="144" fillId="0" borderId="0" xfId="0" applyNumberFormat="1" applyFont="1" applyProtection="1"/>
    <xf numFmtId="170" fontId="14" fillId="3" borderId="3" xfId="0" applyFont="1" applyFill="1" applyBorder="1" applyProtection="1"/>
    <xf numFmtId="9" fontId="14" fillId="3" borderId="3" xfId="19" applyFont="1" applyFill="1" applyBorder="1" applyProtection="1"/>
    <xf numFmtId="170" fontId="142" fillId="0" borderId="0" xfId="0" applyFont="1" applyProtection="1"/>
    <xf numFmtId="49" fontId="106" fillId="24" borderId="2" xfId="0" applyNumberFormat="1" applyFont="1" applyFill="1" applyBorder="1" applyAlignment="1" applyProtection="1">
      <alignment horizontal="center"/>
      <protection locked="0"/>
    </xf>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8" fillId="0" borderId="0" xfId="0" applyFont="1" applyAlignment="1">
      <alignment horizontal="center"/>
    </xf>
    <xf numFmtId="170" fontId="99" fillId="0" borderId="0" xfId="0" applyFont="1" applyAlignment="1">
      <alignment horizontal="center"/>
    </xf>
    <xf numFmtId="170" fontId="26" fillId="25" borderId="126" xfId="0" applyFont="1" applyFill="1" applyBorder="1" applyAlignment="1">
      <alignment horizontal="center" vertical="center" textRotation="90"/>
    </xf>
    <xf numFmtId="0" fontId="45" fillId="27" borderId="2" xfId="0" applyNumberFormat="1" applyFont="1" applyFill="1" applyBorder="1" applyAlignment="1" applyProtection="1">
      <alignment horizontal="left" vertical="center" wrapText="1"/>
    </xf>
    <xf numFmtId="0" fontId="45" fillId="28" borderId="225" xfId="0" applyNumberFormat="1" applyFont="1" applyFill="1" applyBorder="1" applyAlignment="1" applyProtection="1">
      <alignment horizontal="center" vertical="center" wrapText="1"/>
    </xf>
    <xf numFmtId="0" fontId="45" fillId="28" borderId="224" xfId="0" applyNumberFormat="1" applyFont="1" applyFill="1" applyBorder="1" applyAlignment="1" applyProtection="1">
      <alignment horizontal="center" vertical="center" wrapText="1"/>
    </xf>
    <xf numFmtId="0" fontId="45" fillId="28" borderId="87" xfId="0" applyNumberFormat="1" applyFont="1" applyFill="1" applyBorder="1" applyAlignment="1" applyProtection="1">
      <alignment horizontal="center" vertical="center" wrapText="1"/>
    </xf>
    <xf numFmtId="0" fontId="45" fillId="28" borderId="74" xfId="0" applyNumberFormat="1" applyFont="1" applyFill="1" applyBorder="1" applyAlignment="1" applyProtection="1">
      <alignment horizontal="center" vertical="center" wrapText="1"/>
    </xf>
    <xf numFmtId="170" fontId="45" fillId="26" borderId="2" xfId="0" applyNumberFormat="1" applyFont="1" applyFill="1" applyBorder="1" applyAlignment="1" applyProtection="1">
      <alignment horizontal="left" vertical="center" wrapText="1"/>
    </xf>
    <xf numFmtId="170" fontId="45" fillId="26" borderId="225" xfId="0" applyNumberFormat="1" applyFont="1" applyFill="1" applyBorder="1" applyAlignment="1" applyProtection="1">
      <alignment horizontal="center" vertical="center" wrapText="1"/>
    </xf>
    <xf numFmtId="170" fontId="45" fillId="26" borderId="224" xfId="0" applyNumberFormat="1" applyFont="1" applyFill="1" applyBorder="1" applyAlignment="1" applyProtection="1">
      <alignment horizontal="center" vertical="center" wrapText="1"/>
    </xf>
    <xf numFmtId="170" fontId="45" fillId="26" borderId="87" xfId="0" applyNumberFormat="1" applyFont="1" applyFill="1" applyBorder="1" applyAlignment="1" applyProtection="1">
      <alignment horizontal="center" vertical="center" wrapText="1"/>
    </xf>
    <xf numFmtId="170" fontId="45" fillId="26" borderId="74" xfId="0" applyNumberFormat="1" applyFont="1" applyFill="1" applyBorder="1" applyAlignment="1" applyProtection="1">
      <alignment horizontal="center" vertical="center" wrapText="1"/>
    </xf>
    <xf numFmtId="164" fontId="42" fillId="14" borderId="0" xfId="4" applyFont="1" applyFill="1" applyAlignment="1" applyProtection="1">
      <alignment horizontal="center" vertical="center"/>
    </xf>
    <xf numFmtId="49" fontId="0" fillId="0" borderId="27" xfId="0" applyNumberFormat="1" applyBorder="1" applyAlignment="1" applyProtection="1">
      <alignment horizontal="center"/>
    </xf>
    <xf numFmtId="49" fontId="0" fillId="0" borderId="29" xfId="0" applyNumberFormat="1" applyBorder="1" applyAlignment="1" applyProtection="1">
      <alignment horizontal="center"/>
    </xf>
    <xf numFmtId="170" fontId="85" fillId="0" borderId="0" xfId="0" applyFont="1" applyAlignment="1" applyProtection="1">
      <alignment horizontal="right"/>
    </xf>
    <xf numFmtId="49" fontId="0" fillId="0" borderId="27" xfId="0" applyNumberFormat="1" applyBorder="1" applyAlignment="1" applyProtection="1">
      <alignment horizontal="justify" wrapText="1"/>
    </xf>
    <xf numFmtId="49" fontId="0" fillId="0" borderId="28" xfId="0" applyNumberFormat="1" applyBorder="1" applyAlignment="1" applyProtection="1">
      <alignment horizontal="justify" wrapText="1"/>
    </xf>
    <xf numFmtId="49" fontId="0" fillId="0" borderId="29" xfId="0" applyNumberFormat="1" applyBorder="1" applyAlignment="1" applyProtection="1">
      <alignment horizontal="justify" wrapText="1"/>
    </xf>
    <xf numFmtId="170" fontId="112" fillId="0" borderId="86" xfId="0" applyFont="1" applyFill="1" applyBorder="1" applyAlignment="1" applyProtection="1">
      <alignment horizontal="right" wrapText="1"/>
    </xf>
    <xf numFmtId="170" fontId="112" fillId="0" borderId="126" xfId="0" applyFont="1" applyFill="1" applyBorder="1" applyAlignment="1" applyProtection="1">
      <alignment horizontal="right" wrapText="1"/>
    </xf>
    <xf numFmtId="171" fontId="96" fillId="0" borderId="2" xfId="20" applyNumberFormat="1" applyFont="1" applyFill="1" applyBorder="1" applyAlignment="1" applyProtection="1">
      <alignment horizontal="center"/>
    </xf>
    <xf numFmtId="171" fontId="104" fillId="0" borderId="2" xfId="20" applyNumberFormat="1" applyFill="1" applyBorder="1" applyAlignment="1" applyProtection="1">
      <alignment horizontal="center"/>
    </xf>
    <xf numFmtId="170" fontId="85" fillId="0" borderId="86" xfId="0" applyFont="1" applyBorder="1" applyAlignment="1" applyProtection="1">
      <alignment horizontal="right"/>
    </xf>
    <xf numFmtId="172" fontId="106" fillId="0" borderId="27" xfId="0" applyNumberFormat="1" applyFont="1" applyFill="1" applyBorder="1" applyAlignment="1" applyProtection="1">
      <alignment horizontal="center"/>
    </xf>
    <xf numFmtId="172" fontId="106" fillId="0" borderId="29" xfId="0" applyNumberFormat="1" applyFont="1" applyFill="1" applyBorder="1" applyAlignment="1" applyProtection="1">
      <alignment horizontal="center"/>
    </xf>
    <xf numFmtId="49" fontId="109" fillId="0" borderId="2" xfId="0" applyNumberFormat="1" applyFont="1" applyBorder="1" applyAlignment="1" applyProtection="1">
      <alignment horizontal="center"/>
    </xf>
    <xf numFmtId="49" fontId="0" fillId="0" borderId="28" xfId="0" applyNumberFormat="1" applyBorder="1" applyAlignment="1" applyProtection="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0" xfId="0" applyFont="1" applyFill="1" applyBorder="1" applyAlignment="1" applyProtection="1">
      <alignment horizontal="center" vertical="center"/>
    </xf>
    <xf numFmtId="170" fontId="51" fillId="0" borderId="121" xfId="0" applyFont="1" applyFill="1" applyBorder="1" applyAlignment="1" applyProtection="1">
      <alignment horizontal="center" vertical="center"/>
    </xf>
    <xf numFmtId="170" fontId="51" fillId="0" borderId="122" xfId="0" applyFont="1" applyFill="1" applyBorder="1" applyAlignment="1" applyProtection="1">
      <alignment horizontal="center" vertical="center"/>
    </xf>
    <xf numFmtId="170" fontId="56" fillId="0" borderId="128" xfId="0" applyFont="1" applyBorder="1" applyAlignment="1" applyProtection="1">
      <alignment horizontal="right"/>
    </xf>
    <xf numFmtId="170" fontId="92" fillId="0" borderId="128" xfId="0" applyFont="1" applyBorder="1" applyAlignment="1" applyProtection="1"/>
    <xf numFmtId="164" fontId="7" fillId="0" borderId="129" xfId="0" applyNumberFormat="1" applyFont="1" applyBorder="1" applyAlignment="1" applyProtection="1">
      <alignment horizontal="center"/>
    </xf>
    <xf numFmtId="170" fontId="7" fillId="0" borderId="130" xfId="0" applyFont="1" applyBorder="1" applyAlignment="1" applyProtection="1">
      <alignment horizontal="center"/>
    </xf>
    <xf numFmtId="170" fontId="7" fillId="0" borderId="131" xfId="0" applyFont="1" applyBorder="1" applyAlignment="1" applyProtection="1">
      <alignment horizontal="center"/>
    </xf>
    <xf numFmtId="170" fontId="19" fillId="0" borderId="134" xfId="0" applyFont="1" applyBorder="1" applyAlignment="1" applyProtection="1">
      <alignment horizontal="center" wrapText="1"/>
    </xf>
    <xf numFmtId="170" fontId="19" fillId="0" borderId="135" xfId="0" applyFont="1" applyBorder="1" applyAlignment="1" applyProtection="1">
      <alignment horizontal="center" wrapText="1"/>
    </xf>
    <xf numFmtId="170" fontId="19" fillId="0" borderId="136" xfId="0" applyFont="1" applyBorder="1" applyAlignment="1" applyProtection="1">
      <alignment horizontal="center" wrapText="1"/>
    </xf>
    <xf numFmtId="170" fontId="0" fillId="5" borderId="27" xfId="0" applyFill="1" applyBorder="1" applyAlignment="1" applyProtection="1">
      <alignment horizontal="center"/>
    </xf>
    <xf numFmtId="170" fontId="0" fillId="5" borderId="29" xfId="0" applyFill="1" applyBorder="1" applyAlignment="1" applyProtection="1">
      <alignment horizontal="center"/>
    </xf>
    <xf numFmtId="0" fontId="45" fillId="26" borderId="2" xfId="0" applyNumberFormat="1" applyFont="1" applyFill="1" applyBorder="1" applyAlignment="1" applyProtection="1">
      <alignment vertical="center" wrapText="1"/>
    </xf>
    <xf numFmtId="170" fontId="85" fillId="0" borderId="0" xfId="0" applyFont="1" applyBorder="1" applyAlignment="1" applyProtection="1">
      <alignment horizontal="right"/>
    </xf>
    <xf numFmtId="170" fontId="85" fillId="0" borderId="126" xfId="0" applyFont="1" applyBorder="1" applyAlignment="1" applyProtection="1">
      <alignment horizontal="right"/>
    </xf>
    <xf numFmtId="49" fontId="0" fillId="0" borderId="2" xfId="0" applyNumberFormat="1" applyBorder="1" applyAlignment="1" applyProtection="1">
      <alignment horizontal="center"/>
    </xf>
    <xf numFmtId="49" fontId="45" fillId="0" borderId="132" xfId="0" applyNumberFormat="1" applyFont="1" applyFill="1" applyBorder="1" applyAlignment="1" applyProtection="1">
      <alignment horizontal="justify" vertical="center" wrapText="1"/>
    </xf>
    <xf numFmtId="49" fontId="45" fillId="0" borderId="108" xfId="0" applyNumberFormat="1" applyFont="1" applyFill="1" applyBorder="1" applyAlignment="1" applyProtection="1">
      <alignment horizontal="justify" vertical="center" wrapText="1"/>
    </xf>
    <xf numFmtId="49" fontId="45" fillId="0" borderId="133" xfId="0" applyNumberFormat="1" applyFont="1" applyFill="1" applyBorder="1" applyAlignment="1" applyProtection="1">
      <alignment horizontal="justify" vertical="center" wrapText="1"/>
    </xf>
    <xf numFmtId="49" fontId="45" fillId="0" borderId="72" xfId="0" applyNumberFormat="1" applyFont="1" applyFill="1" applyBorder="1" applyAlignment="1" applyProtection="1">
      <alignment horizontal="justify" vertical="center" wrapText="1"/>
    </xf>
    <xf numFmtId="49" fontId="45" fillId="0" borderId="73" xfId="0" applyNumberFormat="1" applyFont="1" applyFill="1" applyBorder="1" applyAlignment="1" applyProtection="1">
      <alignment horizontal="justify" vertical="center" wrapText="1"/>
    </xf>
    <xf numFmtId="49" fontId="45" fillId="0" borderId="77" xfId="0" applyNumberFormat="1" applyFont="1" applyFill="1" applyBorder="1" applyAlignment="1" applyProtection="1">
      <alignment horizontal="justify" vertical="center" wrapText="1"/>
    </xf>
    <xf numFmtId="0" fontId="45" fillId="10" borderId="119" xfId="0" applyNumberFormat="1" applyFont="1" applyFill="1" applyBorder="1" applyAlignment="1" applyProtection="1">
      <alignment horizontal="center" vertical="center" wrapText="1"/>
    </xf>
    <xf numFmtId="170" fontId="45" fillId="10" borderId="132" xfId="0" applyFont="1" applyFill="1" applyBorder="1" applyAlignment="1" applyProtection="1">
      <alignment horizontal="justify" vertical="center" wrapText="1"/>
    </xf>
    <xf numFmtId="170" fontId="45" fillId="10" borderId="108" xfId="0" applyFont="1" applyFill="1" applyBorder="1" applyAlignment="1" applyProtection="1">
      <alignment horizontal="justify" vertical="center" wrapText="1"/>
    </xf>
    <xf numFmtId="170" fontId="45" fillId="10" borderId="133" xfId="0" applyFont="1" applyFill="1" applyBorder="1" applyAlignment="1" applyProtection="1">
      <alignment horizontal="justify" vertical="center" wrapText="1"/>
    </xf>
    <xf numFmtId="170" fontId="45" fillId="10" borderId="72"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7" xfId="0" applyFont="1" applyFill="1" applyBorder="1" applyAlignment="1" applyProtection="1">
      <alignment horizontal="justify" vertical="center" wrapText="1"/>
    </xf>
    <xf numFmtId="170" fontId="45" fillId="26" borderId="2" xfId="0" applyNumberFormat="1" applyFont="1" applyFill="1" applyBorder="1" applyAlignment="1" applyProtection="1">
      <alignment vertical="center" wrapText="1"/>
    </xf>
    <xf numFmtId="170" fontId="45" fillId="28" borderId="225" xfId="0" applyNumberFormat="1" applyFont="1" applyFill="1" applyBorder="1" applyAlignment="1" applyProtection="1">
      <alignment horizontal="center" vertical="center" wrapText="1"/>
    </xf>
    <xf numFmtId="170" fontId="45" fillId="28" borderId="226" xfId="0" applyNumberFormat="1" applyFont="1" applyFill="1" applyBorder="1" applyAlignment="1" applyProtection="1">
      <alignment horizontal="center" vertical="center" wrapText="1"/>
    </xf>
    <xf numFmtId="170" fontId="106" fillId="0" borderId="108" xfId="0" applyFont="1" applyFill="1" applyBorder="1" applyAlignment="1" applyProtection="1">
      <alignment horizontal="justify" vertical="center" wrapText="1"/>
    </xf>
    <xf numFmtId="170" fontId="106" fillId="0" borderId="133" xfId="0" applyFont="1" applyFill="1" applyBorder="1" applyAlignment="1" applyProtection="1">
      <alignment horizontal="justify" vertical="center" wrapText="1"/>
    </xf>
    <xf numFmtId="170" fontId="106" fillId="0" borderId="72" xfId="0" applyFont="1" applyFill="1" applyBorder="1" applyAlignment="1" applyProtection="1">
      <alignment horizontal="justify" vertical="center" wrapText="1"/>
    </xf>
    <xf numFmtId="170" fontId="106" fillId="0" borderId="73" xfId="0" applyFont="1" applyFill="1" applyBorder="1" applyAlignment="1" applyProtection="1">
      <alignment horizontal="justify" vertical="center" wrapText="1"/>
    </xf>
    <xf numFmtId="170" fontId="106" fillId="0" borderId="77" xfId="0" applyFont="1" applyFill="1" applyBorder="1" applyAlignment="1" applyProtection="1">
      <alignment horizontal="justify" vertical="center" wrapText="1"/>
    </xf>
    <xf numFmtId="170" fontId="45" fillId="0" borderId="115" xfId="0" applyFont="1" applyFill="1" applyBorder="1" applyAlignment="1" applyProtection="1">
      <alignment horizontal="center" vertical="center" wrapText="1"/>
    </xf>
    <xf numFmtId="170" fontId="45" fillId="0" borderId="219" xfId="0" applyFont="1" applyFill="1" applyBorder="1" applyAlignment="1" applyProtection="1">
      <alignment horizontal="center" vertical="center" wrapText="1"/>
    </xf>
    <xf numFmtId="0" fontId="45" fillId="0" borderId="87" xfId="0" applyNumberFormat="1" applyFont="1" applyFill="1" applyBorder="1" applyAlignment="1" applyProtection="1">
      <alignment horizontal="center" vertical="center" wrapText="1"/>
    </xf>
    <xf numFmtId="0" fontId="45" fillId="0" borderId="220" xfId="0" applyNumberFormat="1" applyFont="1" applyFill="1" applyBorder="1" applyAlignment="1" applyProtection="1">
      <alignment horizontal="center" vertical="center" wrapText="1"/>
    </xf>
    <xf numFmtId="170" fontId="45" fillId="26" borderId="227" xfId="0" applyNumberFormat="1" applyFont="1" applyFill="1" applyBorder="1" applyAlignment="1" applyProtection="1">
      <alignment horizontal="center" vertical="center" wrapText="1"/>
    </xf>
    <xf numFmtId="170" fontId="45" fillId="26" borderId="223" xfId="0" applyNumberFormat="1" applyFont="1" applyFill="1" applyBorder="1" applyAlignment="1" applyProtection="1">
      <alignment horizontal="center" vertical="center" wrapText="1"/>
    </xf>
    <xf numFmtId="170" fontId="45" fillId="10" borderId="29" xfId="0" applyFont="1" applyFill="1" applyBorder="1" applyAlignment="1" applyProtection="1">
      <alignment horizontal="center" vertical="center" wrapText="1"/>
    </xf>
    <xf numFmtId="170" fontId="45" fillId="0" borderId="29" xfId="0" applyFont="1" applyFill="1" applyBorder="1" applyAlignment="1" applyProtection="1">
      <alignment horizontal="center" vertical="center" wrapText="1"/>
    </xf>
    <xf numFmtId="0" fontId="45" fillId="0" borderId="119" xfId="0" applyNumberFormat="1" applyFont="1" applyFill="1" applyBorder="1" applyAlignment="1" applyProtection="1">
      <alignment horizontal="center" vertical="center" wrapText="1"/>
    </xf>
    <xf numFmtId="0" fontId="45" fillId="27" borderId="2" xfId="0" applyNumberFormat="1" applyFont="1" applyFill="1" applyBorder="1" applyAlignment="1" applyProtection="1">
      <alignment vertical="center" wrapText="1"/>
    </xf>
    <xf numFmtId="10" fontId="26" fillId="0" borderId="112" xfId="19" applyNumberFormat="1" applyFont="1" applyFill="1" applyBorder="1" applyAlignment="1" applyProtection="1">
      <alignment horizontal="center" vertical="center"/>
    </xf>
    <xf numFmtId="10" fontId="26" fillId="0" borderId="113" xfId="19" applyNumberFormat="1" applyFont="1" applyFill="1" applyBorder="1" applyAlignment="1" applyProtection="1">
      <alignment horizontal="center" vertical="center"/>
    </xf>
    <xf numFmtId="10" fontId="26" fillId="0" borderId="114" xfId="19" applyNumberFormat="1" applyFont="1" applyFill="1" applyBorder="1" applyAlignment="1" applyProtection="1">
      <alignment horizontal="center" vertical="center"/>
    </xf>
    <xf numFmtId="0" fontId="45" fillId="26" borderId="133" xfId="0" applyNumberFormat="1" applyFont="1" applyFill="1" applyBorder="1" applyAlignment="1" applyProtection="1">
      <alignment horizontal="center" vertical="center" wrapText="1"/>
    </xf>
    <xf numFmtId="0" fontId="45" fillId="26" borderId="77" xfId="0" applyNumberFormat="1" applyFont="1" applyFill="1" applyBorder="1" applyAlignment="1" applyProtection="1">
      <alignment horizontal="center" vertical="center" wrapText="1"/>
    </xf>
    <xf numFmtId="0" fontId="45" fillId="26" borderId="87" xfId="0" applyNumberFormat="1" applyFont="1" applyFill="1" applyBorder="1" applyAlignment="1" applyProtection="1">
      <alignment horizontal="center" vertical="center" wrapText="1"/>
    </xf>
    <xf numFmtId="0" fontId="45" fillId="26" borderId="74" xfId="0" applyNumberFormat="1" applyFont="1" applyFill="1" applyBorder="1" applyAlignment="1" applyProtection="1">
      <alignment horizontal="center" vertical="center" wrapText="1"/>
    </xf>
    <xf numFmtId="0" fontId="45" fillId="27" borderId="87" xfId="0" applyNumberFormat="1" applyFont="1" applyFill="1" applyBorder="1" applyAlignment="1" applyProtection="1">
      <alignment horizontal="center" vertical="center" wrapText="1"/>
    </xf>
    <xf numFmtId="0" fontId="45" fillId="27" borderId="74" xfId="0" applyNumberFormat="1" applyFont="1" applyFill="1" applyBorder="1" applyAlignment="1" applyProtection="1">
      <alignment horizontal="center" vertical="center" wrapText="1"/>
    </xf>
    <xf numFmtId="0" fontId="45" fillId="27" borderId="225" xfId="0" applyNumberFormat="1" applyFont="1" applyFill="1" applyBorder="1" applyAlignment="1" applyProtection="1">
      <alignment horizontal="center" vertical="center" wrapText="1"/>
    </xf>
    <xf numFmtId="0" fontId="45" fillId="27" borderId="224" xfId="0" applyNumberFormat="1" applyFont="1" applyFill="1" applyBorder="1" applyAlignment="1" applyProtection="1">
      <alignment horizontal="center" vertical="center" wrapText="1"/>
    </xf>
    <xf numFmtId="170" fontId="45" fillId="28" borderId="87" xfId="0" applyNumberFormat="1" applyFont="1" applyFill="1" applyBorder="1" applyAlignment="1" applyProtection="1">
      <alignment horizontal="center" vertical="center" wrapText="1"/>
    </xf>
    <xf numFmtId="170" fontId="45" fillId="28" borderId="228" xfId="0" applyNumberFormat="1" applyFont="1" applyFill="1" applyBorder="1" applyAlignment="1" applyProtection="1">
      <alignment horizontal="center" vertical="center" wrapText="1"/>
    </xf>
    <xf numFmtId="49" fontId="7" fillId="0" borderId="16" xfId="0" applyNumberFormat="1" applyFont="1" applyBorder="1" applyAlignment="1" applyProtection="1">
      <alignment horizontal="center"/>
    </xf>
    <xf numFmtId="49" fontId="7" fillId="0" borderId="31" xfId="0" applyNumberFormat="1" applyFont="1" applyBorder="1" applyAlignment="1" applyProtection="1">
      <alignment horizontal="center"/>
    </xf>
    <xf numFmtId="0" fontId="45" fillId="26" borderId="225" xfId="0" applyNumberFormat="1" applyFont="1" applyFill="1" applyBorder="1" applyAlignment="1" applyProtection="1">
      <alignment horizontal="center" vertical="center" wrapText="1"/>
    </xf>
    <xf numFmtId="0" fontId="45" fillId="26" borderId="224" xfId="0" applyNumberFormat="1" applyFont="1" applyFill="1" applyBorder="1" applyAlignment="1" applyProtection="1">
      <alignment horizontal="center" vertical="center" wrapText="1"/>
    </xf>
    <xf numFmtId="170" fontId="0" fillId="0" borderId="127" xfId="0" applyBorder="1" applyAlignment="1" applyProtection="1">
      <alignment horizontal="center"/>
    </xf>
    <xf numFmtId="170" fontId="0" fillId="0" borderId="13" xfId="0" applyBorder="1" applyAlignment="1" applyProtection="1">
      <alignment horizontal="center"/>
    </xf>
    <xf numFmtId="170" fontId="0" fillId="0" borderId="123" xfId="0" applyFill="1" applyBorder="1" applyAlignment="1" applyProtection="1">
      <alignment horizontal="center" vertical="center"/>
    </xf>
    <xf numFmtId="170" fontId="0" fillId="0" borderId="124" xfId="0" applyFill="1" applyBorder="1" applyAlignment="1" applyProtection="1">
      <alignment horizontal="center" vertical="center"/>
    </xf>
    <xf numFmtId="170" fontId="0" fillId="0" borderId="125" xfId="0" applyFill="1" applyBorder="1" applyAlignment="1" applyProtection="1">
      <alignment horizontal="center" vertical="center"/>
    </xf>
    <xf numFmtId="164" fontId="110" fillId="14" borderId="0" xfId="4" applyFont="1" applyFill="1" applyAlignment="1" applyProtection="1">
      <alignment horizontal="center" vertical="center"/>
    </xf>
    <xf numFmtId="164" fontId="17" fillId="6" borderId="25" xfId="20" applyFont="1" applyFill="1" applyBorder="1" applyAlignment="1" applyProtection="1">
      <alignment horizont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 fillId="0" borderId="25" xfId="20" applyFont="1" applyFill="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applyProtection="1"/>
    <xf numFmtId="164" fontId="28" fillId="0" borderId="0" xfId="0" applyNumberFormat="1" applyFont="1" applyFill="1" applyAlignment="1" applyProtection="1">
      <alignment wrapText="1"/>
    </xf>
    <xf numFmtId="170" fontId="0" fillId="0" borderId="0" xfId="0" applyFill="1" applyAlignment="1" applyProtection="1">
      <alignment wrapText="1"/>
    </xf>
    <xf numFmtId="164" fontId="28" fillId="0" borderId="0" xfId="0" applyNumberFormat="1" applyFont="1" applyAlignment="1" applyProtection="1">
      <alignment wrapText="1"/>
    </xf>
    <xf numFmtId="170" fontId="0" fillId="0" borderId="0" xfId="0" applyAlignment="1" applyProtection="1">
      <alignment wrapText="1"/>
    </xf>
    <xf numFmtId="170" fontId="57" fillId="0" borderId="0" xfId="0" applyFont="1" applyAlignment="1" applyProtection="1">
      <alignment horizontal="left" wrapText="1"/>
    </xf>
    <xf numFmtId="170" fontId="23" fillId="5" borderId="27" xfId="0" applyFont="1" applyFill="1" applyBorder="1" applyAlignment="1" applyProtection="1">
      <alignment horizontal="justify" vertical="center" wrapText="1"/>
      <protection locked="0"/>
    </xf>
    <xf numFmtId="170" fontId="106" fillId="0" borderId="28" xfId="0" applyFont="1" applyBorder="1" applyAlignment="1" applyProtection="1">
      <alignment horizontal="justify" vertical="center" wrapText="1"/>
      <protection locked="0"/>
    </xf>
    <xf numFmtId="170" fontId="106" fillId="0" borderId="29" xfId="0" applyFont="1" applyBorder="1" applyAlignment="1" applyProtection="1">
      <alignment horizontal="justify" vertical="center" wrapText="1"/>
      <protection locked="0"/>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147" fillId="0" borderId="123" xfId="0" applyFont="1" applyFill="1" applyBorder="1" applyAlignment="1" applyProtection="1">
      <alignment horizontal="center" vertical="center"/>
    </xf>
    <xf numFmtId="170" fontId="147" fillId="0" borderId="124" xfId="0" applyFont="1" applyFill="1" applyBorder="1" applyAlignment="1" applyProtection="1">
      <alignment horizontal="center" vertical="center"/>
    </xf>
    <xf numFmtId="170" fontId="147" fillId="0" borderId="125" xfId="0" applyFont="1" applyFill="1" applyBorder="1" applyAlignment="1" applyProtection="1">
      <alignment horizontal="center" vertical="center"/>
    </xf>
    <xf numFmtId="164" fontId="7" fillId="0" borderId="0" xfId="0" applyNumberFormat="1" applyFont="1" applyAlignment="1" applyProtection="1">
      <alignment horizontal="center" wrapText="1"/>
    </xf>
    <xf numFmtId="170" fontId="0" fillId="0" borderId="0" xfId="0" applyBorder="1" applyAlignment="1" applyProtection="1">
      <alignment horizontal="center"/>
    </xf>
    <xf numFmtId="170" fontId="7" fillId="0" borderId="0" xfId="0" applyFont="1" applyBorder="1" applyAlignment="1" applyProtection="1">
      <alignment horizontal="center"/>
    </xf>
    <xf numFmtId="164" fontId="42" fillId="14" borderId="0" xfId="13" applyFont="1" applyFill="1" applyAlignment="1" applyProtection="1">
      <alignment horizontal="center" vertical="center"/>
    </xf>
    <xf numFmtId="164" fontId="8" fillId="13" borderId="0" xfId="20" applyFont="1" applyFill="1" applyBorder="1" applyAlignment="1" applyProtection="1">
      <alignment horizontal="center"/>
    </xf>
    <xf numFmtId="170" fontId="82" fillId="0" borderId="0" xfId="0" applyFont="1" applyAlignment="1" applyProtection="1">
      <alignment horizontal="center"/>
    </xf>
    <xf numFmtId="164" fontId="7" fillId="0" borderId="0" xfId="0" applyNumberFormat="1" applyFont="1" applyAlignment="1" applyProtection="1">
      <alignment horizontal="center"/>
    </xf>
    <xf numFmtId="164" fontId="21" fillId="0" borderId="0" xfId="0" applyNumberFormat="1" applyFont="1" applyAlignment="1" applyProtection="1">
      <alignment horizontal="right"/>
    </xf>
    <xf numFmtId="164" fontId="21" fillId="0" borderId="0" xfId="0" applyNumberFormat="1" applyFont="1" applyAlignment="1" applyProtection="1">
      <alignment horizontal="left"/>
    </xf>
    <xf numFmtId="15" fontId="21" fillId="0" borderId="0" xfId="0" applyNumberFormat="1" applyFont="1" applyAlignment="1" applyProtection="1">
      <alignment horizontal="right"/>
    </xf>
    <xf numFmtId="170" fontId="0" fillId="0" borderId="137" xfId="0" applyBorder="1" applyAlignment="1" applyProtection="1">
      <alignment horizontal="center"/>
    </xf>
    <xf numFmtId="170" fontId="0" fillId="0" borderId="42" xfId="0" applyBorder="1" applyAlignment="1" applyProtection="1">
      <alignment horizontal="center"/>
    </xf>
    <xf numFmtId="170" fontId="88" fillId="0" borderId="138" xfId="0" applyFont="1" applyFill="1" applyBorder="1" applyAlignment="1" applyProtection="1">
      <alignment horizontal="left" wrapText="1"/>
    </xf>
    <xf numFmtId="170" fontId="88" fillId="0" borderId="139" xfId="0" applyFont="1" applyFill="1" applyBorder="1" applyAlignment="1" applyProtection="1">
      <alignment horizontal="left" wrapText="1"/>
    </xf>
    <xf numFmtId="164" fontId="30" fillId="0" borderId="0" xfId="0" applyNumberFormat="1" applyFont="1" applyAlignment="1" applyProtection="1">
      <alignment wrapText="1"/>
    </xf>
    <xf numFmtId="170" fontId="0" fillId="0" borderId="0" xfId="0" applyAlignment="1" applyProtection="1"/>
    <xf numFmtId="170" fontId="88" fillId="0" borderId="140" xfId="0" applyFont="1" applyFill="1" applyBorder="1" applyAlignment="1" applyProtection="1">
      <alignment horizontal="left" wrapText="1"/>
    </xf>
    <xf numFmtId="170" fontId="88" fillId="0" borderId="68"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25" fillId="5" borderId="27" xfId="0" applyFont="1" applyFill="1" applyBorder="1" applyAlignment="1" applyProtection="1">
      <alignment horizontal="justify" vertical="center" wrapText="1"/>
      <protection locked="0"/>
    </xf>
    <xf numFmtId="170" fontId="125" fillId="5" borderId="28" xfId="0" applyFont="1" applyFill="1" applyBorder="1" applyAlignment="1" applyProtection="1">
      <alignment horizontal="justify" vertical="center" wrapText="1"/>
      <protection locked="0"/>
    </xf>
    <xf numFmtId="170" fontId="125" fillId="5" borderId="29" xfId="0" applyFont="1" applyFill="1" applyBorder="1" applyAlignment="1" applyProtection="1">
      <alignment horizontal="justify" vertical="center" wrapText="1"/>
      <protection locked="0"/>
    </xf>
    <xf numFmtId="164" fontId="81" fillId="0" borderId="116" xfId="0" applyNumberFormat="1" applyFont="1" applyBorder="1" applyAlignment="1" applyProtection="1">
      <alignment horizontal="center" vertical="center" wrapText="1"/>
    </xf>
    <xf numFmtId="164" fontId="81" fillId="0" borderId="117" xfId="0" applyNumberFormat="1" applyFont="1" applyBorder="1" applyAlignment="1" applyProtection="1">
      <alignment horizontal="center" vertical="center" wrapText="1"/>
    </xf>
    <xf numFmtId="164" fontId="81" fillId="0" borderId="118" xfId="0" applyNumberFormat="1" applyFont="1" applyBorder="1" applyAlignment="1" applyProtection="1">
      <alignment horizontal="center" vertical="center" wrapText="1"/>
    </xf>
    <xf numFmtId="170" fontId="123" fillId="0" borderId="28" xfId="0" applyFont="1" applyBorder="1" applyAlignment="1" applyProtection="1">
      <alignment horizontal="justify" vertical="center" wrapText="1"/>
      <protection locked="0"/>
    </xf>
    <xf numFmtId="170" fontId="123" fillId="0" borderId="29" xfId="0" applyFont="1" applyBorder="1" applyAlignment="1" applyProtection="1">
      <alignment horizontal="justify" vertical="center" wrapText="1"/>
      <protection locked="0"/>
    </xf>
    <xf numFmtId="170" fontId="129" fillId="5" borderId="27" xfId="0" applyFont="1" applyFill="1" applyBorder="1" applyAlignment="1" applyProtection="1">
      <alignment horizontal="justify" vertical="center" wrapText="1"/>
      <protection locked="0"/>
    </xf>
    <xf numFmtId="170" fontId="126" fillId="0" borderId="28" xfId="0" applyFont="1" applyBorder="1" applyAlignment="1" applyProtection="1">
      <alignment horizontal="justify" vertical="center" wrapText="1"/>
      <protection locked="0"/>
    </xf>
    <xf numFmtId="170" fontId="126" fillId="0" borderId="29" xfId="0" applyFont="1" applyBorder="1" applyAlignment="1" applyProtection="1">
      <alignment horizontal="justify" vertical="center" wrapText="1"/>
      <protection locked="0"/>
    </xf>
    <xf numFmtId="164" fontId="111" fillId="14" borderId="0" xfId="4" applyFont="1" applyFill="1" applyAlignment="1" applyProtection="1">
      <alignment horizontal="center" vertical="center"/>
    </xf>
    <xf numFmtId="170" fontId="83" fillId="0" borderId="28" xfId="0" applyFont="1" applyBorder="1" applyAlignment="1" applyProtection="1">
      <alignment horizontal="justify" vertical="center" wrapText="1"/>
    </xf>
    <xf numFmtId="174" fontId="83" fillId="0" borderId="28" xfId="0" applyNumberFormat="1" applyFont="1" applyBorder="1" applyAlignment="1" applyProtection="1">
      <alignment horizontal="justify" vertical="center" wrapText="1"/>
    </xf>
    <xf numFmtId="170" fontId="124" fillId="5" borderId="27" xfId="0" applyFont="1" applyFill="1" applyBorder="1" applyAlignment="1" applyProtection="1">
      <alignment horizontal="justify" vertical="top" wrapText="1"/>
      <protection locked="0"/>
    </xf>
    <xf numFmtId="170" fontId="124" fillId="5" borderId="28" xfId="0" applyFont="1" applyFill="1" applyBorder="1" applyAlignment="1" applyProtection="1">
      <alignment horizontal="justify" vertical="top" wrapText="1"/>
      <protection locked="0"/>
    </xf>
    <xf numFmtId="170" fontId="124" fillId="5" borderId="29" xfId="0" applyFont="1" applyFill="1" applyBorder="1" applyAlignment="1" applyProtection="1">
      <alignment horizontal="justify" vertical="top" wrapText="1"/>
      <protection locked="0"/>
    </xf>
    <xf numFmtId="170" fontId="128" fillId="0" borderId="28" xfId="0" applyFont="1" applyBorder="1" applyAlignment="1" applyProtection="1">
      <alignment horizontal="justify" vertical="top" wrapText="1"/>
      <protection locked="0"/>
    </xf>
    <xf numFmtId="170" fontId="128" fillId="0" borderId="29" xfId="0" applyFont="1" applyBorder="1" applyAlignment="1" applyProtection="1">
      <alignment horizontal="justify" vertical="top" wrapText="1"/>
      <protection locked="0"/>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80" fillId="0" borderId="2" xfId="0" applyFont="1" applyBorder="1" applyAlignment="1" applyProtection="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170" fontId="23" fillId="5" borderId="27" xfId="19" applyNumberFormat="1" applyFont="1" applyFill="1" applyBorder="1" applyAlignment="1" applyProtection="1">
      <alignment horizontal="justify" vertical="center" wrapText="1"/>
      <protection locked="0"/>
    </xf>
    <xf numFmtId="170" fontId="146" fillId="5" borderId="28" xfId="19" applyNumberFormat="1" applyFont="1" applyFill="1" applyBorder="1" applyAlignment="1" applyProtection="1">
      <alignment horizontal="justify" vertical="center" wrapText="1"/>
      <protection locked="0"/>
    </xf>
    <xf numFmtId="170" fontId="146" fillId="5" borderId="29" xfId="19" applyNumberFormat="1" applyFont="1" applyFill="1" applyBorder="1" applyAlignment="1" applyProtection="1">
      <alignment horizontal="justify" vertical="center" wrapText="1"/>
      <protection locked="0"/>
    </xf>
    <xf numFmtId="170" fontId="117" fillId="5" borderId="27" xfId="19" applyNumberFormat="1" applyFont="1" applyFill="1" applyBorder="1" applyAlignment="1" applyProtection="1">
      <alignment horizontal="justify" vertical="center" wrapText="1"/>
      <protection locked="0"/>
    </xf>
    <xf numFmtId="164" fontId="21" fillId="0" borderId="0" xfId="0" applyNumberFormat="1" applyFont="1" applyAlignment="1" applyProtection="1">
      <alignment horizontal="right" wrapText="1"/>
    </xf>
    <xf numFmtId="170" fontId="26" fillId="0" borderId="73"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0" borderId="27" xfId="0" applyFont="1" applyBorder="1" applyAlignment="1" applyProtection="1">
      <alignment horizontal="center" vertic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9" fontId="23" fillId="5" borderId="2" xfId="19" applyFont="1" applyFill="1" applyBorder="1" applyAlignment="1" applyProtection="1">
      <alignment horizontal="justify" vertical="center" wrapText="1"/>
      <protection locked="0"/>
    </xf>
    <xf numFmtId="9" fontId="146" fillId="5" borderId="2" xfId="19" applyFont="1" applyFill="1" applyBorder="1" applyAlignment="1" applyProtection="1">
      <alignment horizontal="justify" vertical="center" wrapText="1"/>
      <protection locked="0"/>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127" fillId="5" borderId="2" xfId="19" applyFont="1" applyFill="1" applyBorder="1" applyAlignment="1" applyProtection="1">
      <alignment horizontal="justify" vertical="center" wrapText="1"/>
      <protection locked="0"/>
    </xf>
    <xf numFmtId="9" fontId="23" fillId="5" borderId="28" xfId="19" applyFont="1" applyFill="1" applyBorder="1" applyAlignment="1" applyProtection="1">
      <alignment horizontal="justify" vertical="center" wrapText="1"/>
      <protection locked="0"/>
    </xf>
    <xf numFmtId="9" fontId="23" fillId="5" borderId="29" xfId="19" applyFont="1" applyFill="1" applyBorder="1" applyAlignment="1" applyProtection="1">
      <alignment horizontal="justify" vertical="center" wrapText="1"/>
      <protection locked="0"/>
    </xf>
    <xf numFmtId="170" fontId="23" fillId="5" borderId="28" xfId="19" applyNumberFormat="1" applyFont="1" applyFill="1" applyBorder="1" applyAlignment="1" applyProtection="1">
      <alignment horizontal="justify" vertical="center" wrapText="1"/>
      <protection locked="0"/>
    </xf>
    <xf numFmtId="170" fontId="23" fillId="5" borderId="29" xfId="19" applyNumberFormat="1" applyFont="1" applyFill="1" applyBorder="1" applyAlignment="1" applyProtection="1">
      <alignment horizontal="justify" vertical="center" wrapText="1"/>
      <protection locked="0"/>
    </xf>
    <xf numFmtId="9" fontId="2" fillId="0" borderId="176" xfId="19" applyNumberFormat="1"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6" fillId="0" borderId="80" xfId="0" applyFont="1" applyBorder="1" applyAlignment="1">
      <alignment horizontal="justify" vertical="top" wrapText="1"/>
    </xf>
    <xf numFmtId="170" fontId="106"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6" fillId="0" borderId="217" xfId="0" applyFont="1" applyBorder="1" applyAlignment="1">
      <alignment horizontal="justify" vertical="top" wrapText="1"/>
    </xf>
    <xf numFmtId="170" fontId="106" fillId="0" borderId="218" xfId="0" applyFont="1" applyBorder="1" applyAlignment="1">
      <alignment horizontal="justify" vertical="top" wrapText="1"/>
    </xf>
    <xf numFmtId="170" fontId="2" fillId="0" borderId="181" xfId="0" applyNumberFormat="1" applyFont="1" applyFill="1" applyBorder="1" applyAlignment="1" applyProtection="1">
      <alignment horizontal="justify" vertical="center" wrapText="1"/>
    </xf>
    <xf numFmtId="170" fontId="2" fillId="0" borderId="182"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0" borderId="28" xfId="0" applyNumberFormat="1" applyFont="1" applyFill="1" applyBorder="1" applyAlignment="1" applyProtection="1">
      <alignment horizontal="justify" vertical="center" wrapText="1"/>
    </xf>
    <xf numFmtId="170" fontId="2" fillId="0" borderId="166" xfId="0" applyNumberFormat="1" applyFont="1" applyFill="1" applyBorder="1" applyAlignment="1" applyProtection="1">
      <alignment horizontal="justify" vertical="center" wrapText="1"/>
    </xf>
    <xf numFmtId="170" fontId="2" fillId="0" borderId="174" xfId="0" applyNumberFormat="1" applyFont="1" applyFill="1" applyBorder="1" applyAlignment="1" applyProtection="1">
      <alignment horizontal="justify" vertical="center" wrapText="1"/>
    </xf>
    <xf numFmtId="170" fontId="2" fillId="0" borderId="175" xfId="0" applyNumberFormat="1" applyFont="1" applyFill="1" applyBorder="1" applyAlignment="1" applyProtection="1">
      <alignment horizontal="justify" vertical="center" wrapText="1"/>
    </xf>
    <xf numFmtId="170" fontId="41" fillId="5" borderId="178" xfId="0" applyFont="1" applyFill="1" applyBorder="1" applyAlignment="1" applyProtection="1">
      <alignment horizontal="center" vertical="center"/>
    </xf>
    <xf numFmtId="170" fontId="41" fillId="5" borderId="179" xfId="0" applyFont="1" applyFill="1" applyBorder="1" applyAlignment="1" applyProtection="1">
      <alignment horizontal="center" vertical="center"/>
    </xf>
    <xf numFmtId="170" fontId="41" fillId="5" borderId="180" xfId="0" applyFont="1" applyFill="1" applyBorder="1" applyAlignment="1" applyProtection="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116" fillId="0" borderId="0" xfId="0" applyFont="1" applyFill="1" applyBorder="1" applyAlignment="1" applyProtection="1">
      <alignment horizontal="center"/>
    </xf>
    <xf numFmtId="170" fontId="116" fillId="0" borderId="160" xfId="0" applyFont="1" applyFill="1" applyBorder="1" applyAlignment="1" applyProtection="1">
      <alignment horizontal="center"/>
    </xf>
    <xf numFmtId="170" fontId="2" fillId="0" borderId="145" xfId="0" applyNumberFormat="1" applyFont="1" applyFill="1" applyBorder="1" applyAlignment="1" applyProtection="1">
      <alignment horizontal="justify" vertical="center" wrapText="1"/>
    </xf>
    <xf numFmtId="170" fontId="2" fillId="0" borderId="146"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41" fillId="9" borderId="147" xfId="0" applyFont="1" applyFill="1" applyBorder="1" applyAlignment="1" applyProtection="1">
      <alignment horizontal="center" vertical="center"/>
    </xf>
    <xf numFmtId="170" fontId="41" fillId="9" borderId="148" xfId="0" applyFont="1" applyFill="1" applyBorder="1" applyAlignment="1" applyProtection="1">
      <alignment horizontal="center" vertical="center"/>
    </xf>
    <xf numFmtId="170" fontId="41" fillId="9" borderId="149" xfId="0" applyFont="1" applyFill="1" applyBorder="1" applyAlignment="1" applyProtection="1">
      <alignment horizontal="center" vertical="center"/>
    </xf>
    <xf numFmtId="170" fontId="116" fillId="0" borderId="159"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59" xfId="0" applyFont="1" applyFill="1" applyBorder="1" applyAlignment="1" applyProtection="1">
      <alignment horizont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162" xfId="0" applyNumberFormat="1" applyFont="1" applyFill="1" applyBorder="1" applyAlignment="1" applyProtection="1">
      <alignment horizontal="justify" vertical="center" wrapText="1"/>
    </xf>
    <xf numFmtId="170" fontId="94" fillId="6" borderId="167" xfId="0" applyFont="1" applyFill="1" applyBorder="1" applyAlignment="1" applyProtection="1">
      <alignment horizontal="center" vertical="center"/>
    </xf>
    <xf numFmtId="170" fontId="94" fillId="6" borderId="168" xfId="0" applyFont="1" applyFill="1" applyBorder="1" applyAlignment="1" applyProtection="1">
      <alignment horizontal="center" vertical="center"/>
    </xf>
    <xf numFmtId="170" fontId="106" fillId="0" borderId="168" xfId="0" applyFont="1" applyBorder="1" applyAlignment="1">
      <alignment horizontal="center" vertical="center"/>
    </xf>
    <xf numFmtId="170" fontId="2" fillId="0" borderId="141" xfId="0" applyNumberFormat="1" applyFont="1" applyFill="1" applyBorder="1" applyAlignment="1" applyProtection="1">
      <alignment horizontal="justify" vertical="center" wrapText="1"/>
    </xf>
    <xf numFmtId="170" fontId="2" fillId="0" borderId="142"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3" xfId="0" applyNumberFormat="1" applyFont="1" applyFill="1" applyBorder="1" applyAlignment="1" applyProtection="1">
      <alignment horizontal="justify" vertical="center" wrapText="1"/>
    </xf>
    <xf numFmtId="170" fontId="94" fillId="6" borderId="169" xfId="0" applyFont="1" applyFill="1" applyBorder="1" applyAlignment="1" applyProtection="1">
      <alignment horizontal="center" vertical="center"/>
    </xf>
    <xf numFmtId="170" fontId="94" fillId="6" borderId="170" xfId="0" applyFont="1" applyFill="1" applyBorder="1" applyAlignment="1" applyProtection="1">
      <alignment horizontal="center" vertical="center"/>
    </xf>
    <xf numFmtId="170" fontId="94" fillId="6" borderId="171" xfId="0" applyFont="1" applyFill="1" applyBorder="1" applyAlignment="1" applyProtection="1">
      <alignment horizontal="center" vertical="center"/>
    </xf>
    <xf numFmtId="170" fontId="106" fillId="5" borderId="109" xfId="0" applyFont="1" applyFill="1" applyBorder="1" applyAlignment="1" applyProtection="1">
      <alignment horizontal="justify" vertical="top" wrapText="1"/>
      <protection locked="0"/>
    </xf>
    <xf numFmtId="170" fontId="106" fillId="5" borderId="108" xfId="0" applyFont="1" applyFill="1" applyBorder="1" applyAlignment="1" applyProtection="1">
      <alignment horizontal="justify" vertical="top" wrapText="1"/>
      <protection locked="0"/>
    </xf>
    <xf numFmtId="170" fontId="106" fillId="5" borderId="110" xfId="0" applyFont="1" applyFill="1" applyBorder="1" applyAlignment="1" applyProtection="1">
      <alignment horizontal="justify" vertical="top" wrapText="1"/>
      <protection locked="0"/>
    </xf>
    <xf numFmtId="170" fontId="106" fillId="5" borderId="111" xfId="0" applyFont="1" applyFill="1" applyBorder="1" applyAlignment="1" applyProtection="1">
      <alignment horizontal="justify" vertical="top" wrapText="1"/>
      <protection locked="0"/>
    </xf>
    <xf numFmtId="170" fontId="106" fillId="5" borderId="73" xfId="0" applyFont="1" applyFill="1" applyBorder="1" applyAlignment="1" applyProtection="1">
      <alignment horizontal="justify" vertical="top" wrapText="1"/>
      <protection locked="0"/>
    </xf>
    <xf numFmtId="170" fontId="106" fillId="5" borderId="75" xfId="0" applyFont="1" applyFill="1" applyBorder="1" applyAlignment="1" applyProtection="1">
      <alignment horizontal="justify" vertical="top" wrapText="1"/>
      <protection locked="0"/>
    </xf>
    <xf numFmtId="170" fontId="51" fillId="4" borderId="5" xfId="18" applyNumberFormat="1" applyFont="1" applyFill="1" applyBorder="1" applyAlignment="1">
      <alignment horizontal="center" vertical="center" wrapText="1"/>
    </xf>
    <xf numFmtId="170" fontId="51" fillId="4" borderId="213" xfId="18" applyNumberFormat="1" applyFont="1" applyFill="1" applyBorder="1" applyAlignment="1">
      <alignment horizontal="center" vertical="center" wrapText="1"/>
    </xf>
    <xf numFmtId="170" fontId="51" fillId="4" borderId="203" xfId="18" applyNumberFormat="1" applyFont="1" applyFill="1" applyBorder="1" applyAlignment="1">
      <alignment horizontal="center" vertical="center" wrapText="1"/>
    </xf>
    <xf numFmtId="170" fontId="14" fillId="0" borderId="190" xfId="0" applyFont="1" applyFill="1" applyBorder="1" applyAlignment="1" applyProtection="1">
      <alignment horizontal="left"/>
      <protection locked="0"/>
    </xf>
    <xf numFmtId="170" fontId="14" fillId="0" borderId="184" xfId="0" applyFont="1" applyFill="1" applyBorder="1" applyAlignment="1" applyProtection="1">
      <alignment horizontal="left"/>
      <protection locked="0"/>
    </xf>
    <xf numFmtId="170" fontId="14" fillId="0" borderId="191" xfId="0" applyFont="1" applyFill="1" applyBorder="1" applyAlignment="1" applyProtection="1">
      <alignment horizontal="left"/>
      <protection locked="0"/>
    </xf>
    <xf numFmtId="170" fontId="14" fillId="0" borderId="192" xfId="0" applyFont="1" applyFill="1" applyBorder="1" applyAlignment="1" applyProtection="1">
      <alignment horizontal="left"/>
      <protection locked="0"/>
    </xf>
    <xf numFmtId="170" fontId="26" fillId="0" borderId="0" xfId="0" applyFont="1" applyAlignment="1">
      <alignment horizontal="center"/>
    </xf>
    <xf numFmtId="170" fontId="51" fillId="4" borderId="187" xfId="18" applyNumberFormat="1" applyFont="1" applyFill="1" applyBorder="1" applyAlignment="1">
      <alignment horizontal="center" vertical="center" wrapText="1"/>
    </xf>
    <xf numFmtId="170" fontId="51" fillId="4" borderId="188" xfId="18" applyNumberFormat="1" applyFont="1" applyFill="1" applyBorder="1" applyAlignment="1">
      <alignment horizontal="center" vertical="center" wrapText="1"/>
    </xf>
    <xf numFmtId="170" fontId="51" fillId="4" borderId="189" xfId="18" applyNumberFormat="1" applyFont="1" applyFill="1" applyBorder="1" applyAlignment="1">
      <alignment horizontal="center" vertical="center" wrapText="1"/>
    </xf>
    <xf numFmtId="170" fontId="14" fillId="0" borderId="184" xfId="0" applyFont="1" applyBorder="1" applyAlignment="1" applyProtection="1">
      <alignment horizontal="left"/>
      <protection locked="0"/>
    </xf>
    <xf numFmtId="164" fontId="42" fillId="14" borderId="0" xfId="13" applyFont="1" applyFill="1" applyAlignment="1">
      <alignment horizontal="center" vertical="center"/>
    </xf>
    <xf numFmtId="164" fontId="8" fillId="13" borderId="0" xfId="22" applyFont="1" applyFill="1" applyBorder="1" applyAlignment="1" applyProtection="1">
      <alignment horizontal="center"/>
      <protection locked="0"/>
    </xf>
    <xf numFmtId="170" fontId="14" fillId="0" borderId="22" xfId="0" applyFont="1" applyFill="1" applyBorder="1" applyAlignment="1" applyProtection="1">
      <alignment horizontal="left"/>
      <protection locked="0"/>
    </xf>
    <xf numFmtId="170" fontId="14" fillId="0" borderId="186" xfId="0" applyFont="1" applyFill="1" applyBorder="1" applyAlignment="1" applyProtection="1">
      <alignment horizontal="left"/>
      <protection locked="0"/>
    </xf>
    <xf numFmtId="170" fontId="14" fillId="0" borderId="185" xfId="0" applyFont="1" applyFill="1" applyBorder="1" applyAlignment="1" applyProtection="1">
      <alignment horizontal="left"/>
      <protection locked="0"/>
    </xf>
    <xf numFmtId="164" fontId="7" fillId="0" borderId="0" xfId="0" applyNumberFormat="1" applyFont="1" applyAlignment="1">
      <alignment horizontal="center"/>
    </xf>
    <xf numFmtId="164" fontId="21" fillId="0" borderId="0" xfId="0" applyNumberFormat="1" applyFont="1" applyAlignment="1">
      <alignment horizontal="right"/>
    </xf>
    <xf numFmtId="15" fontId="21" fillId="0" borderId="0" xfId="0" applyNumberFormat="1" applyFont="1" applyAlignment="1">
      <alignment horizontal="right"/>
    </xf>
    <xf numFmtId="170" fontId="82" fillId="0" borderId="0" xfId="0" applyFont="1" applyAlignment="1">
      <alignment horizontal="center"/>
    </xf>
    <xf numFmtId="164" fontId="21" fillId="0" borderId="0" xfId="0" applyNumberFormat="1" applyFont="1" applyAlignment="1">
      <alignment horizontal="left"/>
    </xf>
    <xf numFmtId="170" fontId="14" fillId="0" borderId="201" xfId="0" applyFont="1" applyBorder="1" applyAlignment="1" applyProtection="1">
      <alignment horizontal="left"/>
      <protection locked="0"/>
    </xf>
    <xf numFmtId="170" fontId="14" fillId="0" borderId="22" xfId="0" applyFont="1" applyBorder="1" applyAlignment="1" applyProtection="1">
      <alignment horizontal="left"/>
      <protection locked="0"/>
    </xf>
    <xf numFmtId="170" fontId="14" fillId="0" borderId="190" xfId="0" applyFont="1" applyBorder="1" applyAlignment="1" applyProtection="1">
      <alignment horizontal="left"/>
      <protection locked="0"/>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10" xfId="0" applyFont="1" applyFill="1" applyBorder="1" applyAlignment="1" applyProtection="1">
      <alignment horizontal="justify" vertical="center" wrapText="1"/>
      <protection locked="0"/>
    </xf>
    <xf numFmtId="170" fontId="14" fillId="0" borderId="207" xfId="0" applyFont="1" applyFill="1" applyBorder="1" applyAlignment="1" applyProtection="1">
      <alignment horizontal="justify" vertical="center" wrapText="1"/>
      <protection locked="0"/>
    </xf>
    <xf numFmtId="170" fontId="14" fillId="0" borderId="211"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164" xfId="0" applyFont="1" applyFill="1" applyBorder="1" applyAlignment="1" applyProtection="1">
      <alignment horizontal="justify" vertical="center" wrapText="1"/>
      <protection locked="0"/>
    </xf>
    <xf numFmtId="170" fontId="14" fillId="0" borderId="200" xfId="0" applyFont="1" applyFill="1" applyBorder="1" applyAlignment="1" applyProtection="1">
      <alignment horizontal="justify" vertical="center" wrapText="1"/>
      <protection locked="0"/>
    </xf>
    <xf numFmtId="170" fontId="14" fillId="0" borderId="161" xfId="0" applyFont="1" applyFill="1" applyBorder="1" applyAlignment="1" applyProtection="1">
      <alignment horizontal="left" vertical="center" wrapText="1"/>
      <protection locked="0"/>
    </xf>
    <xf numFmtId="170" fontId="14" fillId="0" borderId="193" xfId="0" applyFont="1" applyFill="1" applyBorder="1" applyAlignment="1" applyProtection="1">
      <alignment horizontal="left" vertical="center" wrapText="1"/>
      <protection locked="0"/>
    </xf>
    <xf numFmtId="170" fontId="14" fillId="0" borderId="194"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vertical="center" wrapText="1"/>
      <protection locked="0"/>
    </xf>
    <xf numFmtId="170" fontId="14" fillId="0" borderId="201" xfId="0" applyFont="1" applyFill="1" applyBorder="1" applyAlignment="1" applyProtection="1">
      <alignment horizontal="left"/>
      <protection locked="0"/>
    </xf>
    <xf numFmtId="170" fontId="14" fillId="0" borderId="214" xfId="0" applyFont="1" applyFill="1" applyBorder="1" applyAlignment="1" applyProtection="1">
      <alignment horizontal="justify" vertical="center" wrapText="1"/>
      <protection locked="0"/>
    </xf>
    <xf numFmtId="170" fontId="14" fillId="0" borderId="197" xfId="0" applyFont="1" applyFill="1" applyBorder="1" applyAlignment="1" applyProtection="1">
      <alignment horizontal="justify" vertical="center" wrapText="1"/>
      <protection locked="0"/>
    </xf>
    <xf numFmtId="170" fontId="14" fillId="0" borderId="198" xfId="0" applyFont="1" applyFill="1" applyBorder="1" applyAlignment="1" applyProtection="1">
      <alignment horizontal="justify" vertical="center" wrapText="1"/>
      <protection locked="0"/>
    </xf>
    <xf numFmtId="170" fontId="14" fillId="0" borderId="192" xfId="0" applyFont="1" applyBorder="1" applyAlignment="1" applyProtection="1">
      <alignment horizontal="left"/>
      <protection locked="0"/>
    </xf>
    <xf numFmtId="170" fontId="14" fillId="0" borderId="206"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199" xfId="0" applyFont="1" applyFill="1" applyBorder="1" applyAlignment="1" applyProtection="1">
      <alignment horizontal="left" vertical="top" wrapText="1"/>
      <protection locked="0"/>
    </xf>
    <xf numFmtId="170" fontId="14" fillId="0" borderId="164"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vertical="top" wrapText="1"/>
      <protection locked="0"/>
    </xf>
    <xf numFmtId="170" fontId="14" fillId="0" borderId="202" xfId="0" applyFont="1" applyFill="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186" xfId="0" applyFont="1" applyBorder="1" applyAlignment="1" applyProtection="1">
      <alignment horizontal="left"/>
      <protection locked="0"/>
    </xf>
    <xf numFmtId="170" fontId="14" fillId="0" borderId="204" xfId="0" applyFont="1" applyFill="1" applyBorder="1" applyAlignment="1" applyProtection="1">
      <alignment horizontal="left"/>
      <protection locked="0"/>
    </xf>
    <xf numFmtId="170" fontId="14" fillId="0" borderId="161" xfId="0" applyFont="1" applyFill="1" applyBorder="1" applyAlignment="1" applyProtection="1">
      <alignment horizontal="left"/>
      <protection locked="0"/>
    </xf>
    <xf numFmtId="170" fontId="14" fillId="0" borderId="193" xfId="0" applyFont="1" applyFill="1" applyBorder="1" applyAlignment="1" applyProtection="1">
      <alignment horizontal="left"/>
      <protection locked="0"/>
    </xf>
    <xf numFmtId="170" fontId="14" fillId="0" borderId="20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6"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vertical="top" wrapText="1"/>
      <protection locked="0"/>
    </xf>
    <xf numFmtId="170" fontId="14" fillId="0" borderId="198" xfId="0" applyFont="1" applyFill="1" applyBorder="1" applyAlignment="1" applyProtection="1">
      <alignment horizontal="left" vertical="top" wrapText="1"/>
      <protection locked="0"/>
    </xf>
    <xf numFmtId="170" fontId="14" fillId="0" borderId="200" xfId="0" applyFont="1" applyFill="1" applyBorder="1" applyAlignment="1" applyProtection="1">
      <alignment horizontal="left" vertical="top" wrapText="1"/>
      <protection locked="0"/>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8">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9"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datelor'!$D$81</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datelor'!$D$81:$D$82</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172853072"/>
        <c:axId val="172853856"/>
      </c:barChart>
      <c:catAx>
        <c:axId val="172853072"/>
        <c:scaling>
          <c:orientation val="minMax"/>
        </c:scaling>
        <c:delete val="1"/>
        <c:axPos val="l"/>
        <c:numFmt formatCode="General" sourceLinked="1"/>
        <c:majorTickMark val="out"/>
        <c:minorTickMark val="none"/>
        <c:tickLblPos val="none"/>
        <c:crossAx val="172853856"/>
        <c:crosses val="autoZero"/>
        <c:auto val="1"/>
        <c:lblAlgn val="ctr"/>
        <c:lblOffset val="100"/>
        <c:noMultiLvlLbl val="0"/>
      </c:catAx>
      <c:valAx>
        <c:axId val="17285385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172853072"/>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datelor'!$H$123:$S$123</c:f>
              <c:numCache>
                <c:formatCode>#,##0</c:formatCode>
                <c:ptCount val="12"/>
                <c:pt idx="0" formatCode="0.00%">
                  <c:v>3.0599999999999999E-2</c:v>
                </c:pt>
                <c:pt idx="1">
                  <c:v>0</c:v>
                </c:pt>
                <c:pt idx="2" formatCode="0.00%">
                  <c:v>3.7999999999999999E-2</c:v>
                </c:pt>
                <c:pt idx="3" formatCode="0.00%">
                  <c:v>0</c:v>
                </c:pt>
                <c:pt idx="4" formatCode="0.00%">
                  <c:v>3.6999999999999998E-2</c:v>
                </c:pt>
                <c:pt idx="5" formatCode="0.00%">
                  <c:v>0</c:v>
                </c:pt>
                <c:pt idx="6" formatCode="0.00%">
                  <c:v>3.5999999999999997E-2</c:v>
                </c:pt>
              </c:numCache>
            </c:numRef>
          </c:val>
          <c:extLst>
            <c:ext xmlns:c16="http://schemas.microsoft.com/office/drawing/2014/chart" uri="{C3380CC4-5D6E-409C-BE32-E72D297353CC}">
              <c16:uniqueId val="{00000002-52EC-4BDC-81F0-2E469D21FB78}"/>
            </c:ext>
          </c:extLst>
        </c:ser>
        <c:ser>
          <c:idx val="2"/>
          <c:order val="1"/>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datelor'!$H$124:$S$124</c:f>
              <c:numCache>
                <c:formatCode>0.00%</c:formatCode>
                <c:ptCount val="12"/>
                <c:pt idx="0">
                  <c:v>3.5999999999999997E-2</c:v>
                </c:pt>
                <c:pt idx="1">
                  <c:v>0</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218386456"/>
        <c:axId val="217705448"/>
      </c:barChart>
      <c:catAx>
        <c:axId val="218386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7705448"/>
        <c:crosses val="autoZero"/>
        <c:auto val="1"/>
        <c:lblAlgn val="ctr"/>
        <c:lblOffset val="100"/>
        <c:tickLblSkip val="1"/>
        <c:tickMarkSkip val="1"/>
        <c:noMultiLvlLbl val="0"/>
      </c:catAx>
      <c:valAx>
        <c:axId val="217705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6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datelor'!$G$118</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datelor'!$H$118:$S$118</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datelor'!$G$119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datelor'!$H$119:$S$119</c:f>
              <c:numCache>
                <c:formatCode>0.0</c:formatCode>
                <c:ptCount val="12"/>
                <c:pt idx="0">
                  <c:v>8.6999999999999993</c:v>
                </c:pt>
                <c:pt idx="1">
                  <c:v>8.1999999999999993</c:v>
                </c:pt>
                <c:pt idx="2">
                  <c:v>8.1999999999999993</c:v>
                </c:pt>
                <c:pt idx="3">
                  <c:v>7.7</c:v>
                </c:pt>
                <c:pt idx="4">
                  <c:v>7.7</c:v>
                </c:pt>
                <c:pt idx="5">
                  <c:v>7.2</c:v>
                </c:pt>
                <c:pt idx="6">
                  <c:v>7.2</c:v>
                </c:pt>
              </c:numCache>
            </c:numRef>
          </c:val>
          <c:extLst>
            <c:ext xmlns:c16="http://schemas.microsoft.com/office/drawing/2014/chart" uri="{C3380CC4-5D6E-409C-BE32-E72D297353CC}">
              <c16:uniqueId val="{0000000B-ED6C-4DE1-9468-E65DE69FFA0B}"/>
            </c:ext>
          </c:extLst>
        </c:ser>
        <c:ser>
          <c:idx val="2"/>
          <c:order val="2"/>
          <c:tx>
            <c:strRef>
              <c:f>'Introducerea datelor'!$G$120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datelor'!$H$120:$S$120</c:f>
              <c:numCache>
                <c:formatCode>0.0</c:formatCode>
                <c:ptCount val="12"/>
                <c:pt idx="0" formatCode="0.00">
                  <c:v>7.94</c:v>
                </c:pt>
                <c:pt idx="1">
                  <c:v>7.54</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218658232"/>
        <c:axId val="218658624"/>
      </c:barChart>
      <c:catAx>
        <c:axId val="2186582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624"/>
        <c:crosses val="autoZero"/>
        <c:auto val="1"/>
        <c:lblAlgn val="ctr"/>
        <c:lblOffset val="100"/>
        <c:tickLblSkip val="1"/>
        <c:tickMarkSkip val="1"/>
        <c:noMultiLvlLbl val="0"/>
      </c:catAx>
      <c:valAx>
        <c:axId val="218658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8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c:formatCode>
                <c:ptCount val="12"/>
                <c:pt idx="0">
                  <c:v>0</c:v>
                </c:pt>
                <c:pt idx="1">
                  <c:v>0</c:v>
                </c:pt>
                <c:pt idx="2">
                  <c:v>0</c:v>
                </c:pt>
                <c:pt idx="3">
                  <c:v>0</c:v>
                </c:pt>
                <c:pt idx="4">
                  <c:v>0</c:v>
                </c:pt>
                <c:pt idx="5" formatCode="0.0%">
                  <c:v>3.9E-2</c:v>
                </c:pt>
              </c:numCache>
            </c:numRef>
          </c:val>
          <c:extLst>
            <c:ext xmlns:c16="http://schemas.microsoft.com/office/drawing/2014/chart" uri="{C3380CC4-5D6E-409C-BE32-E72D297353CC}">
              <c16:uniqueId val="{00000002-AB67-4507-9DCD-77920C14C072}"/>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formatCode="#,##0">
                  <c:v>0</c:v>
                </c:pt>
                <c:pt idx="1">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218659408"/>
        <c:axId val="218659800"/>
      </c:barChart>
      <c:catAx>
        <c:axId val="218659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800"/>
        <c:crosses val="autoZero"/>
        <c:auto val="1"/>
        <c:lblAlgn val="ctr"/>
        <c:lblOffset val="100"/>
        <c:tickLblSkip val="1"/>
        <c:tickMarkSkip val="1"/>
        <c:noMultiLvlLbl val="0"/>
      </c:catAx>
      <c:valAx>
        <c:axId val="218659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5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c:formatCode>
                <c:ptCount val="12"/>
                <c:pt idx="0">
                  <c:v>0</c:v>
                </c:pt>
                <c:pt idx="1">
                  <c:v>0</c:v>
                </c:pt>
                <c:pt idx="2">
                  <c:v>0</c:v>
                </c:pt>
                <c:pt idx="3">
                  <c:v>0</c:v>
                </c:pt>
                <c:pt idx="4">
                  <c:v>0</c:v>
                </c:pt>
                <c:pt idx="5" formatCode="0.0%">
                  <c:v>0.13900000000000001</c:v>
                </c:pt>
              </c:numCache>
            </c:numRef>
          </c:val>
          <c:extLst>
            <c:ext xmlns:c16="http://schemas.microsoft.com/office/drawing/2014/chart" uri="{C3380CC4-5D6E-409C-BE32-E72D297353CC}">
              <c16:uniqueId val="{00000002-4350-409D-B5E1-D06548E981D0}"/>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0.00%</c:formatCode>
                <c:ptCount val="12"/>
                <c:pt idx="0" formatCode="#,##0">
                  <c:v>0</c:v>
                </c:pt>
                <c:pt idx="1">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218660584"/>
        <c:axId val="218660976"/>
      </c:barChart>
      <c:catAx>
        <c:axId val="2186605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976"/>
        <c:crosses val="autoZero"/>
        <c:auto val="1"/>
        <c:lblAlgn val="ctr"/>
        <c:lblOffset val="100"/>
        <c:tickLblSkip val="1"/>
        <c:tickMarkSkip val="1"/>
        <c:noMultiLvlLbl val="0"/>
      </c:catAx>
      <c:valAx>
        <c:axId val="21866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660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c:formatCode>
                <c:ptCount val="12"/>
                <c:pt idx="0" formatCode="0.0">
                  <c:v>0</c:v>
                </c:pt>
                <c:pt idx="1">
                  <c:v>0</c:v>
                </c:pt>
                <c:pt idx="2" formatCode="0.0">
                  <c:v>0</c:v>
                </c:pt>
                <c:pt idx="3" formatCode="0.0">
                  <c:v>0</c:v>
                </c:pt>
                <c:pt idx="4" formatCode="0.0">
                  <c:v>0</c:v>
                </c:pt>
                <c:pt idx="5" formatCode="0.0%">
                  <c:v>0.09</c:v>
                </c:pt>
              </c:numCache>
            </c:numRef>
          </c:val>
          <c:extLst>
            <c:ext xmlns:c16="http://schemas.microsoft.com/office/drawing/2014/chart" uri="{C3380CC4-5D6E-409C-BE32-E72D297353CC}">
              <c16:uniqueId val="{00000005-45E1-4BA1-8735-4FFEBDCD01F4}"/>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0.00%</c:formatCode>
                <c:ptCount val="12"/>
                <c:pt idx="0" formatCode="0.0">
                  <c:v>0</c:v>
                </c:pt>
                <c:pt idx="1">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219195792"/>
        <c:axId val="219196184"/>
      </c:barChart>
      <c:catAx>
        <c:axId val="2191957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6184"/>
        <c:crosses val="autoZero"/>
        <c:auto val="1"/>
        <c:lblAlgn val="ctr"/>
        <c:lblOffset val="100"/>
        <c:tickLblSkip val="1"/>
        <c:tickMarkSkip val="1"/>
        <c:noMultiLvlLbl val="0"/>
      </c:catAx>
      <c:valAx>
        <c:axId val="219196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19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2030552.71</c:v>
                </c:pt>
                <c:pt idx="1">
                  <c:v>4014018.55</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2829411.8</c:v>
                </c:pt>
                <c:pt idx="1">
                  <c:v>4013553.53</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219196576"/>
        <c:axId val="219196968"/>
      </c:areaChart>
      <c:catAx>
        <c:axId val="219196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19196968"/>
        <c:crosses val="autoZero"/>
        <c:auto val="1"/>
        <c:lblAlgn val="ctr"/>
        <c:lblOffset val="100"/>
        <c:tickLblSkip val="8"/>
        <c:tickMarkSkip val="1"/>
        <c:noMultiLvlLbl val="0"/>
      </c:catAx>
      <c:valAx>
        <c:axId val="21919696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91965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datelor'!$C$86</c:f>
              <c:numCache>
                <c:formatCode>#,##0</c:formatCode>
                <c:ptCount val="1"/>
                <c:pt idx="0">
                  <c:v>2</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217701920"/>
        <c:axId val="217702312"/>
      </c:barChart>
      <c:catAx>
        <c:axId val="21770192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217702312"/>
        <c:crosses val="autoZero"/>
        <c:auto val="0"/>
        <c:lblAlgn val="ctr"/>
        <c:lblOffset val="100"/>
        <c:tickMarkSkip val="1"/>
        <c:noMultiLvlLbl val="0"/>
      </c:catAx>
      <c:valAx>
        <c:axId val="217702312"/>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21770192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datelor'!$D$73</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datelor'!$D$74:$D$75</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datelor'!$E$73</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datelor'!$E$74:$E$75</c:f>
              <c:numCache>
                <c:formatCode>0</c:formatCode>
                <c:ptCount val="2"/>
                <c:pt idx="0">
                  <c:v>2</c:v>
                </c:pt>
              </c:numCache>
            </c:numRef>
          </c:val>
          <c:extLst>
            <c:ext xmlns:c16="http://schemas.microsoft.com/office/drawing/2014/chart" uri="{C3380CC4-5D6E-409C-BE32-E72D297353CC}">
              <c16:uniqueId val="{00000001-D08E-42FA-87E5-9BAD02454A53}"/>
            </c:ext>
          </c:extLst>
        </c:ser>
        <c:ser>
          <c:idx val="2"/>
          <c:order val="2"/>
          <c:tx>
            <c:strRef>
              <c:f>'Introducerea datelor'!$F$73</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datelor'!$F$74:$F$75</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217703096"/>
        <c:axId val="217703488"/>
      </c:barChart>
      <c:catAx>
        <c:axId val="2177030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488"/>
        <c:crosses val="autoZero"/>
        <c:auto val="1"/>
        <c:lblAlgn val="ctr"/>
        <c:lblOffset val="100"/>
        <c:tickLblSkip val="1"/>
        <c:tickMarkSkip val="1"/>
        <c:noMultiLvlLbl val="0"/>
      </c:catAx>
      <c:valAx>
        <c:axId val="21770348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77030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datelor'!$D$90</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datelor'!$D$91:$D$92</c:f>
              <c:numCache>
                <c:formatCode>0</c:formatCode>
                <c:ptCount val="2"/>
                <c:pt idx="0">
                  <c:v>8</c:v>
                </c:pt>
                <c:pt idx="1">
                  <c:v>4</c:v>
                </c:pt>
              </c:numCache>
            </c:numRef>
          </c:val>
          <c:extLst>
            <c:ext xmlns:c16="http://schemas.microsoft.com/office/drawing/2014/chart" uri="{C3380CC4-5D6E-409C-BE32-E72D297353CC}">
              <c16:uniqueId val="{00000000-0579-471F-8EB0-B16F21AC51C8}"/>
            </c:ext>
          </c:extLst>
        </c:ser>
        <c:ser>
          <c:idx val="2"/>
          <c:order val="1"/>
          <c:tx>
            <c:strRef>
              <c:f>'Introducerea datelor'!$E$90</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datelor'!$E$91:$E$92</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217704272"/>
        <c:axId val="217704664"/>
      </c:barChart>
      <c:catAx>
        <c:axId val="2177042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664"/>
        <c:crosses val="autoZero"/>
        <c:auto val="1"/>
        <c:lblAlgn val="ctr"/>
        <c:lblOffset val="100"/>
        <c:noMultiLvlLbl val="0"/>
      </c:catAx>
      <c:valAx>
        <c:axId val="2177046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770427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datelor'!$B$100</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datelor'!$C$100:$N$100</c:f>
              <c:numCache>
                <c:formatCode>#,##0</c:formatCode>
                <c:ptCount val="12"/>
                <c:pt idx="0">
                  <c:v>1160869.74</c:v>
                </c:pt>
              </c:numCache>
            </c:numRef>
          </c:val>
          <c:extLst>
            <c:ext xmlns:c16="http://schemas.microsoft.com/office/drawing/2014/chart" uri="{C3380CC4-5D6E-409C-BE32-E72D297353CC}">
              <c16:uniqueId val="{00000000-C2BB-4102-AC1C-6C02FD33FD2D}"/>
            </c:ext>
          </c:extLst>
        </c:ser>
        <c:ser>
          <c:idx val="1"/>
          <c:order val="1"/>
          <c:tx>
            <c:strRef>
              <c:f>'Introducerea datelor'!$B$101</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datelor'!$C$101:$N$101</c:f>
              <c:numCache>
                <c:formatCode>#,##0</c:formatCode>
                <c:ptCount val="12"/>
                <c:pt idx="0">
                  <c:v>1079919</c:v>
                </c:pt>
              </c:numCache>
            </c:numRef>
          </c:val>
          <c:extLst>
            <c:ext xmlns:c16="http://schemas.microsoft.com/office/drawing/2014/chart" uri="{C3380CC4-5D6E-409C-BE32-E72D297353CC}">
              <c16:uniqueId val="{00000001-C2BB-4102-AC1C-6C02FD33FD2D}"/>
            </c:ext>
          </c:extLst>
        </c:ser>
        <c:ser>
          <c:idx val="2"/>
          <c:order val="2"/>
          <c:tx>
            <c:strRef>
              <c:f>'Introducerea datelor'!$B$102</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datelor'!$C$102:$N$102</c:f>
              <c:numCache>
                <c:formatCode>#,##0</c:formatCode>
                <c:ptCount val="12"/>
                <c:pt idx="0">
                  <c:v>708982.7</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218258840"/>
        <c:axId val="218259232"/>
      </c:barChart>
      <c:catAx>
        <c:axId val="218258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9232"/>
        <c:crosses val="autoZero"/>
        <c:auto val="1"/>
        <c:lblAlgn val="ctr"/>
        <c:lblOffset val="100"/>
        <c:noMultiLvlLbl val="0"/>
      </c:catAx>
      <c:valAx>
        <c:axId val="218259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2030552.71</c:v>
                </c:pt>
                <c:pt idx="1">
                  <c:v>4014018.55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2829411.8</c:v>
                </c:pt>
                <c:pt idx="1">
                  <c:v>4013553.53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218260408"/>
        <c:axId val="218260800"/>
      </c:barChart>
      <c:catAx>
        <c:axId val="2182604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800"/>
        <c:crosses val="autoZero"/>
        <c:auto val="1"/>
        <c:lblAlgn val="ctr"/>
        <c:lblOffset val="100"/>
        <c:tickMarkSkip val="1"/>
        <c:noMultiLvlLbl val="0"/>
      </c:catAx>
      <c:valAx>
        <c:axId val="218260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datelor'!$C$53</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datelor'!$C$53:$C$57</c15:sqref>
                  </c15:fullRef>
                </c:ext>
              </c:extLst>
              <c:f>'Introducerea datelor'!$C$54:$C$57</c:f>
              <c:numCache>
                <c:formatCode>#,##0</c:formatCode>
                <c:ptCount val="4"/>
                <c:pt idx="0">
                  <c:v>2829876.8</c:v>
                </c:pt>
                <c:pt idx="1" formatCode="#,##0.00">
                  <c:v>1566759.14</c:v>
                </c:pt>
                <c:pt idx="2">
                  <c:v>238950.12</c:v>
                </c:pt>
                <c:pt idx="3">
                  <c:v>227452.2</c:v>
                </c:pt>
              </c:numCache>
            </c:numRef>
          </c:val>
          <c:extLst>
            <c:ext xmlns:c16="http://schemas.microsoft.com/office/drawing/2014/chart" uri="{C3380CC4-5D6E-409C-BE32-E72D297353CC}">
              <c16:uniqueId val="{00000000-C369-4708-87A9-A84FC531C4BE}"/>
            </c:ext>
          </c:extLst>
        </c:ser>
        <c:ser>
          <c:idx val="1"/>
          <c:order val="1"/>
          <c:tx>
            <c:strRef>
              <c:f>'Introducerea datelor'!$D$53</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datelor'!$D$53:$D$57</c15:sqref>
                  </c15:fullRef>
                </c:ext>
              </c:extLst>
              <c:f>'Introducerea datelor'!$D$54:$D$57</c:f>
              <c:numCache>
                <c:formatCode>#,##0</c:formatCode>
                <c:ptCount val="4"/>
                <c:pt idx="0">
                  <c:v>1184141.73</c:v>
                </c:pt>
                <c:pt idx="1" formatCode="#,##0.00">
                  <c:v>2305952.27</c:v>
                </c:pt>
                <c:pt idx="2">
                  <c:v>245161.79</c:v>
                </c:pt>
                <c:pt idx="3">
                  <c:v>234138.61</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218258448"/>
        <c:axId val="218258056"/>
      </c:barChart>
      <c:catAx>
        <c:axId val="2182584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056"/>
        <c:crossesAt val="0"/>
        <c:auto val="1"/>
        <c:lblAlgn val="ctr"/>
        <c:lblOffset val="100"/>
        <c:noMultiLvlLbl val="0"/>
      </c:catAx>
      <c:valAx>
        <c:axId val="218258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584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datelor'!$C$38:$C$45</c15:sqref>
                  </c15:fullRef>
                </c:ext>
              </c:extLst>
              <c:f>'Introducerea datelor'!$C$39:$C$45</c:f>
              <c:numCache>
                <c:formatCode>#,##0.00</c:formatCode>
                <c:ptCount val="7"/>
                <c:pt idx="0">
                  <c:v>380828.75</c:v>
                </c:pt>
                <c:pt idx="1">
                  <c:v>1261912.7</c:v>
                </c:pt>
                <c:pt idx="2">
                  <c:v>64836.58</c:v>
                </c:pt>
                <c:pt idx="3">
                  <c:v>1256963.92</c:v>
                </c:pt>
                <c:pt idx="4">
                  <c:v>633508.65</c:v>
                </c:pt>
                <c:pt idx="5">
                  <c:v>69498</c:v>
                </c:pt>
                <c:pt idx="6">
                  <c:v>346469.95</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datelor'!$D$38:$D$45</c15:sqref>
                  </c15:fullRef>
                </c:ext>
              </c:extLst>
              <c:f>'Introducerea datelor'!$D$39:$D$45</c:f>
              <c:numCache>
                <c:formatCode>#,##0.00</c:formatCode>
                <c:ptCount val="7"/>
                <c:pt idx="0">
                  <c:v>297144.58</c:v>
                </c:pt>
                <c:pt idx="1">
                  <c:v>1194181.8500000001</c:v>
                </c:pt>
                <c:pt idx="2">
                  <c:v>46147.31</c:v>
                </c:pt>
                <c:pt idx="3">
                  <c:v>1192889.58</c:v>
                </c:pt>
                <c:pt idx="4">
                  <c:v>678728.1</c:v>
                </c:pt>
                <c:pt idx="5">
                  <c:v>81383.210000000006</c:v>
                </c:pt>
                <c:pt idx="6">
                  <c:v>365981.93</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218260016"/>
        <c:axId val="218383712"/>
      </c:barChart>
      <c:catAx>
        <c:axId val="2182600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3712"/>
        <c:crosses val="autoZero"/>
        <c:auto val="1"/>
        <c:lblAlgn val="ctr"/>
        <c:lblOffset val="100"/>
        <c:tickMarkSkip val="1"/>
        <c:noMultiLvlLbl val="0"/>
      </c:catAx>
      <c:valAx>
        <c:axId val="218383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260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0.20499999999999999</c:v>
                </c:pt>
                <c:pt idx="1">
                  <c:v>0.24</c:v>
                </c:pt>
                <c:pt idx="2">
                  <c:v>0.24</c:v>
                </c:pt>
                <c:pt idx="3">
                  <c:v>0.23</c:v>
                </c:pt>
                <c:pt idx="4">
                  <c:v>0.23</c:v>
                </c:pt>
                <c:pt idx="5">
                  <c:v>0.21</c:v>
                </c:pt>
                <c:pt idx="6">
                  <c:v>0.21</c:v>
                </c:pt>
              </c:numCache>
            </c:numRef>
          </c:val>
          <c:extLst>
            <c:ext xmlns:c16="http://schemas.microsoft.com/office/drawing/2014/chart" uri="{C3380CC4-5D6E-409C-BE32-E72D297353CC}">
              <c16:uniqueId val="{00000002-DCD8-4C81-A46D-B0AFC1EAE687}"/>
            </c:ext>
          </c:extLst>
        </c:ser>
        <c:ser>
          <c:idx val="2"/>
          <c:order val="1"/>
          <c:tx>
            <c:strRef>
              <c:f>'Introducerea datelor'!$G$122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datelor'!$H$122:$S$122</c:f>
              <c:numCache>
                <c:formatCode>0.0%</c:formatCode>
                <c:ptCount val="12"/>
                <c:pt idx="0">
                  <c:v>0.26600000000000001</c:v>
                </c:pt>
                <c:pt idx="1">
                  <c:v>0.27600000000000002</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218384888"/>
        <c:axId val="218385672"/>
      </c:barChart>
      <c:catAx>
        <c:axId val="2183848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5672"/>
        <c:crosses val="autoZero"/>
        <c:auto val="1"/>
        <c:lblAlgn val="ctr"/>
        <c:lblOffset val="100"/>
        <c:tickLblSkip val="1"/>
        <c:tickMarkSkip val="1"/>
        <c:noMultiLvlLbl val="0"/>
      </c:catAx>
      <c:valAx>
        <c:axId val="218385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8384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17</xdr:col>
      <xdr:colOff>1714500</xdr:colOff>
      <xdr:row>18</xdr:row>
      <xdr:rowOff>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5" totalsRowShown="0" headerRowDxfId="10" headerRowBorderDxfId="9" tableBorderDxfId="8" totalsRowBorderDxfId="7">
  <autoFilter ref="A1:G25"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din M&amp;E Plan)" dataDxfId="2"/>
    <tableColumn id="5" xr3:uid="{00000000-0010-0000-3A01-000005000000}" name="metode de măsurare"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8" xr6:uid="{00000000-000C-0000-FFFF-FFFF2F000000}" r="C45" connectionId="0">
    <xmlCellPr id="1" xr6:uid="{00000000-0010-0000-2F00-000001000000}" uniqueName="1">
      <xmlPr mapId="43" xpath="/ns1:Root/ns1:F2/ns1:Environ__Community_TB_care__Cumulative_Budget__in___" xmlDataType="double"/>
    </xmlCellPr>
  </singleXmlCell>
  <singleXmlCell id="469" xr6:uid="{00000000-000C-0000-FFFF-FFFF30000000}" r="D45" connectionId="0">
    <xmlCellPr id="1" xr6:uid="{00000000-0010-0000-3000-000001000000}" uniqueName="1">
      <xmlPr mapId="43" xpath="/ns1:Root/ns1:F2/ns1:Environ__Community_TB_care__Cumulative_Expenditures__in___" xmlDataType="double"/>
    </xmlCellPr>
  </singleXmlCell>
  <singleXmlCell id="470" xr6:uid="{00000000-000C-0000-FFFF-FFFF31000000}" r="C46" connectionId="0">
    <xmlCellPr id="1" xr6:uid="{00000000-0010-0000-3100-000001000000}" uniqueName="1">
      <xmlPr mapId="43" xpath="/ns1:Root/ns1:F2/ns1:_Cumulative_Budget__in____1" xmlDataType="string"/>
    </xmlCellPr>
  </singleXmlCell>
  <singleXmlCell id="471" xr6:uid="{00000000-000C-0000-FFFF-FFFF32000000}" r="D46" connectionId="0">
    <xmlCellPr id="1" xr6:uid="{00000000-0010-0000-3200-000001000000}" uniqueName="1">
      <xmlPr mapId="43" xpath="/ns1:Root/ns1:F2/ns1:_Cumulative_Expenditures__in____1" xmlDataType="string"/>
    </xmlCellPr>
  </singleXmlCell>
  <singleXmlCell id="472" xr6:uid="{00000000-000C-0000-FFFF-FFFF33000000}" r="C47" connectionId="0">
    <xmlCellPr id="1" xr6:uid="{00000000-0010-0000-3300-000001000000}" uniqueName="1">
      <xmlPr mapId="43" xpath="/ns1:Root/ns1:F2/ns1:_Cumulative_Budget__in____2" xmlDataType="string"/>
    </xmlCellPr>
  </singleXmlCell>
  <singleXmlCell id="473" xr6:uid="{00000000-000C-0000-FFFF-FFFF34000000}" r="D47" connectionId="0">
    <xmlCellPr id="1" xr6:uid="{00000000-0010-0000-3400-000001000000}" uniqueName="1">
      <xmlPr mapId="43" xpath="/ns1:Root/ns1:F2/ns1:_Cumulative_Expenditures__in____2" xmlDataType="string"/>
    </xmlCellPr>
  </singleXmlCell>
  <singleXmlCell id="474" xr6:uid="{00000000-000C-0000-FFFF-FFFF35000000}" r="C48" connectionId="0">
    <xmlCellPr id="1" xr6:uid="{00000000-0010-0000-3500-000001000000}" uniqueName="1">
      <xmlPr mapId="43" xpath="/ns1:Root/ns1:F2/ns1:_Cumulative_Budget__in___" xmlDataType="string"/>
    </xmlCellPr>
  </singleXmlCell>
  <singleXmlCell id="475" xr6:uid="{00000000-000C-0000-FFFF-FFFF36000000}" r="D48" connectionId="0">
    <xmlCellPr id="1" xr6:uid="{00000000-0010-0000-3600-000001000000}" uniqueName="1">
      <xmlPr mapId="43" xpath="/ns1:Root/ns1:F2/ns1:_Cumulative_Expenditures__in___" xmlDataType="string"/>
    </xmlCellPr>
  </singleXmlCell>
  <singleXmlCell id="476" xr6:uid="{00000000-000C-0000-FFFF-FFFF37000000}" r="C54" connectionId="0">
    <xmlCellPr id="1" xr6:uid="{00000000-0010-0000-3700-000001000000}" uniqueName="1">
      <xmlPr mapId="43" xpath="/ns1:Root/ns1:F3/ns1:Disbursed_by_Global_Fund_Prior_to_reporting_period__in___" xmlDataType="double"/>
    </xmlCellPr>
  </singleXmlCell>
  <singleXmlCell id="477" xr6:uid="{00000000-000C-0000-FFFF-FFFF38000000}" r="D54" connectionId="0">
    <xmlCellPr id="1" xr6:uid="{00000000-0010-0000-3800-000001000000}" uniqueName="1">
      <xmlPr mapId="43" xpath="/ns1:Root/ns1:F3/ns1:Disbursed_by_Global_Fund_Reporting_period__in___" xmlDataType="double"/>
    </xmlCellPr>
  </singleXmlCell>
  <singleXmlCell id="478" xr6:uid="{00000000-000C-0000-FFFF-FFFF39000000}" r="C55"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5" connectionId="0">
    <xmlCellPr id="1" xr6:uid="{00000000-0010-0000-3A00-000001000000}" uniqueName="1">
      <xmlPr mapId="43" xpath="/ns1:Root/ns1:F3/ns1:PR_expenditure_and_disbursement_Reporting_period__in___" xmlDataType="double"/>
    </xmlCellPr>
  </singleXmlCell>
  <singleXmlCell id="480" xr6:uid="{00000000-000C-0000-FFFF-FFFF3B000000}" r="C56" connectionId="0">
    <xmlCellPr id="1" xr6:uid="{00000000-0010-0000-3B00-000001000000}" uniqueName="1">
      <xmlPr mapId="43" xpath="/ns1:Root/ns1:F3/ns1:Disbursed_to_SRs_Prior_to_reporting_period__in___" xmlDataType="double"/>
    </xmlCellPr>
  </singleXmlCell>
  <singleXmlCell id="481" xr6:uid="{00000000-000C-0000-FFFF-FFFF3C000000}" r="D56" connectionId="0">
    <xmlCellPr id="1" xr6:uid="{00000000-0010-0000-3C00-000001000000}" uniqueName="1">
      <xmlPr mapId="43" xpath="/ns1:Root/ns1:F3/ns1:Disbursed_to_SRs_Reporting_period__in___" xmlDataType="double"/>
    </xmlCellPr>
  </singleXmlCell>
  <singleXmlCell id="482" xr6:uid="{00000000-000C-0000-FFFF-FFFF3D000000}" r="C57" connectionId="0">
    <xmlCellPr id="1" xr6:uid="{00000000-0010-0000-3D00-000001000000}" uniqueName="1">
      <xmlPr mapId="43" xpath="/ns1:Root/ns1:F3/ns1:SR_expenditures_Prior_to_reporting_period__in___" xmlDataType="double"/>
    </xmlCellPr>
  </singleXmlCell>
  <singleXmlCell id="483" xr6:uid="{00000000-000C-0000-FFFF-FFFF3E000000}" r="D57" connectionId="0">
    <xmlCellPr id="1" xr6:uid="{00000000-0010-0000-3E00-000001000000}" uniqueName="1">
      <xmlPr mapId="43" xpath="/ns1:Root/ns1:F3/ns1:SR_expenditures_Reporting_period__in___" xmlDataType="double"/>
    </xmlCellPr>
  </singleXmlCell>
  <singleXmlCell id="484" xr6:uid="{00000000-000C-0000-FFFF-FFFF3F000000}" r="C64" connectionId="0">
    <xmlCellPr id="1" xr6:uid="{00000000-0010-0000-3F00-000001000000}" uniqueName="1">
      <xmlPr mapId="43" xpath="/ns1:Root/ns1:F4/ns1:Days_taken_to_submit_acceptable_PU_DR_to_LFA_Expected__days_" xmlDataType="double"/>
    </xmlCellPr>
  </singleXmlCell>
  <singleXmlCell id="485" xr6:uid="{00000000-000C-0000-FFFF-FFFF40000000}" r="D64" connectionId="0">
    <xmlCellPr id="1" xr6:uid="{00000000-0010-0000-4000-000001000000}" uniqueName="1">
      <xmlPr mapId="43" xpath="/ns1:Root/ns1:F4/ns1:Days_taken_to_submit_acceptable_PU_DR_to_LFA_Actual__days_" xmlDataType="double"/>
    </xmlCellPr>
  </singleXmlCell>
  <singleXmlCell id="486" xr6:uid="{00000000-000C-0000-FFFF-FFFF41000000}" r="C65" connectionId="0">
    <xmlCellPr id="1" xr6:uid="{00000000-0010-0000-4100-000001000000}" uniqueName="1">
      <xmlPr mapId="43" xpath="/ns1:Root/ns1:F4/ns1:Days_taken_for_disbursement_to_reach_PR_Expected__days_" xmlDataType="double"/>
    </xmlCellPr>
  </singleXmlCell>
  <singleXmlCell id="487" xr6:uid="{00000000-000C-0000-FFFF-FFFF42000000}" r="D65" connectionId="0">
    <xmlCellPr id="1" xr6:uid="{00000000-0010-0000-4200-000001000000}" uniqueName="1">
      <xmlPr mapId="43" xpath="/ns1:Root/ns1:F4/ns1:Days_taken_for_disbursement_to_reach_PR_Actual__days_" xmlDataType="double"/>
    </xmlCellPr>
  </singleXmlCell>
  <singleXmlCell id="488" xr6:uid="{00000000-000C-0000-FFFF-FFFF43000000}" r="C66" connectionId="0">
    <xmlCellPr id="1" xr6:uid="{00000000-0010-0000-4300-000001000000}" uniqueName="1">
      <xmlPr mapId="43" xpath="/ns1:Root/ns1:F4/ns1:Days_taken_for_disbursement_to_reach_SRs__Expected__days_" xmlDataType="double"/>
    </xmlCellPr>
  </singleXmlCell>
  <singleXmlCell id="489" xr6:uid="{00000000-000C-0000-FFFF-FFFF44000000}" r="D66" connectionId="0">
    <xmlCellPr id="1" xr6:uid="{00000000-0010-0000-4400-000001000000}" uniqueName="1">
      <xmlPr mapId="43" xpath="/ns1:Root/ns1:F4/ns1:Days_taken_for_disbursement_to_reach_SRs__Actual__days_" xmlDataType="double"/>
    </xmlCellPr>
  </singleXmlCell>
  <singleXmlCell id="490" xr6:uid="{00000000-000C-0000-FFFF-FFFF45000000}" r="B74" connectionId="0">
    <xmlCellPr id="1" xr6:uid="{00000000-0010-0000-4500-000001000000}" uniqueName="1">
      <xmlPr mapId="43" xpath="/ns1:Root/ns1:M1/ns1:Conditions_precedents__CPs__" xmlDataType="string"/>
    </xmlCellPr>
  </singleXmlCell>
  <singleXmlCell id="491" xr6:uid="{00000000-000C-0000-FFFF-FFFF46000000}" r="D74" connectionId="0">
    <xmlCellPr id="1" xr6:uid="{00000000-0010-0000-4600-000001000000}" uniqueName="1">
      <xmlPr mapId="43" xpath="/ns1:Root/ns1:M1/ns1:Conditions_precedents__CPs__Fulfilled" xmlDataType="double"/>
    </xmlCellPr>
  </singleXmlCell>
  <singleXmlCell id="492" xr6:uid="{00000000-000C-0000-FFFF-FFFF47000000}" r="E74"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4"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5" connectionId="0">
    <xmlCellPr id="1" xr6:uid="{00000000-0010-0000-4900-000001000000}" uniqueName="1">
      <xmlPr mapId="43" xpath="/ns1:Root/ns1:M1/ns1:Time_Bound_Actions__TBAs__" xmlDataType="string"/>
    </xmlCellPr>
  </singleXmlCell>
  <singleXmlCell id="495" xr6:uid="{00000000-000C-0000-FFFF-FFFF4A000000}" r="D75" connectionId="0">
    <xmlCellPr id="1" xr6:uid="{00000000-0010-0000-4A00-000001000000}" uniqueName="1">
      <xmlPr mapId="43" xpath="/ns1:Root/ns1:M1/ns1:Time_Bound_Actions__TBAs__Fulfilled" xmlDataType="double"/>
    </xmlCellPr>
  </singleXmlCell>
  <singleXmlCell id="496" xr6:uid="{00000000-000C-0000-FFFF-FFFF4B000000}" r="E75" connectionId="0">
    <xmlCellPr id="1" xr6:uid="{00000000-0010-0000-4B00-000001000000}" uniqueName="1">
      <xmlPr mapId="43" xpath="/ns1:Root/ns1:M1/ns1:Time_Bound_Actions__TBAs__Not_fulfilled__but_within_deadline" xmlDataType="string"/>
    </xmlCellPr>
  </singleXmlCell>
  <singleXmlCell id="497" xr6:uid="{00000000-000C-0000-FFFF-FFFF4C000000}" r="F75"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1" connectionId="0">
    <xmlCellPr id="1" xr6:uid="{00000000-0010-0000-4D00-000001000000}" uniqueName="1">
      <xmlPr mapId="43" xpath="/ns1:Root/ns1:M2/ns1:PMU_Planned" xmlDataType="double"/>
    </xmlCellPr>
  </singleXmlCell>
  <singleXmlCell id="499" xr6:uid="{00000000-000C-0000-FFFF-FFFF4E000000}" r="D81" connectionId="0">
    <xmlCellPr id="1" xr6:uid="{00000000-0010-0000-4E00-000001000000}" uniqueName="1">
      <xmlPr mapId="43" xpath="/ns1:Root/ns1:M2/ns1:PMU_Filled" xmlDataType="double"/>
    </xmlCellPr>
  </singleXmlCell>
  <singleXmlCell id="500" xr6:uid="{00000000-000C-0000-FFFF-FFFF4F000000}" r="C86" connectionId="0">
    <xmlCellPr id="1" xr6:uid="{00000000-0010-0000-4F00-000001000000}" uniqueName="1">
      <xmlPr mapId="43" xpath="/ns1:Root/ns1:M3/ns1:SRs_Identified" xmlDataType="double"/>
    </xmlCellPr>
  </singleXmlCell>
  <singleXmlCell id="501" xr6:uid="{00000000-000C-0000-FFFF-FFFF50000000}" r="D86" connectionId="0">
    <xmlCellPr id="1" xr6:uid="{00000000-0010-0000-5000-000001000000}" uniqueName="1">
      <xmlPr mapId="43" xpath="/ns1:Root/ns1:M3/ns1:SRs_Assessed" xmlDataType="double"/>
    </xmlCellPr>
  </singleXmlCell>
  <singleXmlCell id="502" xr6:uid="{00000000-000C-0000-FFFF-FFFF51000000}" r="E86" connectionId="0">
    <xmlCellPr id="1" xr6:uid="{00000000-0010-0000-5100-000001000000}" uniqueName="1">
      <xmlPr mapId="43" xpath="/ns1:Root/ns1:M3/ns1:SRs_Approved" xmlDataType="double"/>
    </xmlCellPr>
  </singleXmlCell>
  <singleXmlCell id="503" xr6:uid="{00000000-000C-0000-FFFF-FFFF52000000}" r="F86" connectionId="0">
    <xmlCellPr id="1" xr6:uid="{00000000-0010-0000-5200-000001000000}" uniqueName="1">
      <xmlPr mapId="43" xpath="/ns1:Root/ns1:M3/ns1:SRs_Signed" xmlDataType="double"/>
    </xmlCellPr>
  </singleXmlCell>
  <singleXmlCell id="504" xr6:uid="{00000000-000C-0000-FFFF-FFFF53000000}" r="G86" connectionId="0">
    <xmlCellPr id="1" xr6:uid="{00000000-0010-0000-5300-000001000000}" uniqueName="1">
      <xmlPr mapId="43" xpath="/ns1:Root/ns1:M3/ns1:SRs_Receiving_Funding" xmlDataType="double"/>
    </xmlCellPr>
  </singleXmlCell>
  <singleXmlCell id="506" xr6:uid="{00000000-000C-0000-FFFF-FFFF54000000}" r="C91" connectionId="0">
    <xmlCellPr id="1" xr6:uid="{00000000-0010-0000-5400-000001000000}" uniqueName="1">
      <xmlPr mapId="43" xpath="/ns1:Root/ns1:M4/ns1:SSR_to_SR__IR_____Expected" xmlDataType="string"/>
    </xmlCellPr>
  </singleXmlCell>
  <singleXmlCell id="507" xr6:uid="{00000000-000C-0000-FFFF-FFFF55000000}" r="D91" connectionId="0">
    <xmlCellPr id="1" xr6:uid="{00000000-0010-0000-5500-000001000000}" uniqueName="1">
      <xmlPr mapId="43" xpath="/ns1:Root/ns1:M4/ns1:SSR_to_SR__IR____Received" xmlDataType="string"/>
    </xmlCellPr>
  </singleXmlCell>
  <singleXmlCell id="509" xr6:uid="{00000000-000C-0000-FFFF-FFFF56000000}" r="C92" connectionId="0">
    <xmlCellPr id="1" xr6:uid="{00000000-0010-0000-5600-000001000000}" uniqueName="1">
      <xmlPr mapId="43" xpath="/ns1:Root/ns1:M4/ns1:SRs__IRs__to_PR____Expected" xmlDataType="double"/>
    </xmlCellPr>
  </singleXmlCell>
  <singleXmlCell id="510" xr6:uid="{00000000-000C-0000-FFFF-FFFF57000000}" r="D92" connectionId="0">
    <xmlCellPr id="1" xr6:uid="{00000000-0010-0000-5700-000001000000}" uniqueName="1">
      <xmlPr mapId="43" xpath="/ns1:Root/ns1:M4/ns1:SRs__IRs__to_PR___Received" xmlDataType="double"/>
    </xmlCellPr>
  </singleXmlCell>
  <singleXmlCell id="511" xr6:uid="{00000000-000C-0000-FFFF-FFFF58000000}" r="C97" connectionId="0">
    <xmlCellPr id="1" xr6:uid="{00000000-0010-0000-5800-000001000000}" uniqueName="1">
      <xmlPr mapId="43" xpath="/ns1:Root/ns1:M5/ns1:Budget_Approved__P1" xmlDataType="double"/>
    </xmlCellPr>
  </singleXmlCell>
  <singleXmlCell id="512" xr6:uid="{00000000-000C-0000-FFFF-FFFF59000000}" r="D97" connectionId="0">
    <xmlCellPr id="1" xr6:uid="{00000000-0010-0000-5900-000001000000}" uniqueName="1">
      <xmlPr mapId="43" xpath="/ns1:Root/ns1:M5/ns1:Budget_Approved__P2" xmlDataType="double"/>
    </xmlCellPr>
  </singleXmlCell>
  <singleXmlCell id="513" xr6:uid="{00000000-000C-0000-FFFF-FFFF5A000000}" r="E97" connectionId="0">
    <xmlCellPr id="1" xr6:uid="{00000000-0010-0000-5A00-000001000000}" uniqueName="1">
      <xmlPr mapId="43" xpath="/ns1:Root/ns1:M5/ns1:Budget_Approved__P3" xmlDataType="double"/>
    </xmlCellPr>
  </singleXmlCell>
  <singleXmlCell id="514" xr6:uid="{00000000-000C-0000-FFFF-FFFF5B000000}" r="F97" connectionId="0">
    <xmlCellPr id="1" xr6:uid="{00000000-0010-0000-5B00-000001000000}" uniqueName="1">
      <xmlPr mapId="43" xpath="/ns1:Root/ns1:M5/ns1:Budget_Approved__P4" xmlDataType="double"/>
    </xmlCellPr>
  </singleXmlCell>
  <singleXmlCell id="515" xr6:uid="{00000000-000C-0000-FFFF-FFFF5C000000}" r="G97" connectionId="0">
    <xmlCellPr id="1" xr6:uid="{00000000-0010-0000-5C00-000001000000}" uniqueName="1">
      <xmlPr mapId="43" xpath="/ns1:Root/ns1:M5/ns1:Budget_Approved__P5" xmlDataType="double"/>
    </xmlCellPr>
  </singleXmlCell>
  <singleXmlCell id="516" xr6:uid="{00000000-000C-0000-FFFF-FFFF5D000000}" r="H97" connectionId="0">
    <xmlCellPr id="1" xr6:uid="{00000000-0010-0000-5D00-000001000000}" uniqueName="1">
      <xmlPr mapId="43" xpath="/ns1:Root/ns1:M5/ns1:Budget_Approved__P6" xmlDataType="double"/>
    </xmlCellPr>
  </singleXmlCell>
  <singleXmlCell id="517" xr6:uid="{00000000-000C-0000-FFFF-FFFF5E000000}" r="I97" connectionId="0">
    <xmlCellPr id="1" xr6:uid="{00000000-0010-0000-5E00-000001000000}" uniqueName="1">
      <xmlPr mapId="43" xpath="/ns1:Root/ns1:M5/ns1:Budget_Approved__P7" xmlDataType="double"/>
    </xmlCellPr>
  </singleXmlCell>
  <singleXmlCell id="518" xr6:uid="{00000000-000C-0000-FFFF-FFFF5F000000}" r="J97" connectionId="0">
    <xmlCellPr id="1" xr6:uid="{00000000-0010-0000-5F00-000001000000}" uniqueName="1">
      <xmlPr mapId="43" xpath="/ns1:Root/ns1:M5/ns1:Budget_Approved__P8" xmlDataType="double"/>
    </xmlCellPr>
  </singleXmlCell>
  <singleXmlCell id="519" xr6:uid="{00000000-000C-0000-FFFF-FFFF60000000}" r="K97" connectionId="0">
    <xmlCellPr id="1" xr6:uid="{00000000-0010-0000-6000-000001000000}" uniqueName="1">
      <xmlPr mapId="43" xpath="/ns1:Root/ns1:M5/ns1:Budget_Approved__P9" xmlDataType="double"/>
    </xmlCellPr>
  </singleXmlCell>
  <singleXmlCell id="520" xr6:uid="{00000000-000C-0000-FFFF-FFFF61000000}" r="L97" connectionId="0">
    <xmlCellPr id="1" xr6:uid="{00000000-0010-0000-6100-000001000000}" uniqueName="1">
      <xmlPr mapId="43" xpath="/ns1:Root/ns1:M5/ns1:Budget_Approved__P10" xmlDataType="double"/>
    </xmlCellPr>
  </singleXmlCell>
  <singleXmlCell id="521" xr6:uid="{00000000-000C-0000-FFFF-FFFF62000000}" r="M97" connectionId="0">
    <xmlCellPr id="1" xr6:uid="{00000000-0010-0000-6200-000001000000}" uniqueName="1">
      <xmlPr mapId="43" xpath="/ns1:Root/ns1:M5/ns1:Budget_Approved__P11" xmlDataType="double"/>
    </xmlCellPr>
  </singleXmlCell>
  <singleXmlCell id="522" xr6:uid="{00000000-000C-0000-FFFF-FFFF63000000}" r="N97" connectionId="0">
    <xmlCellPr id="1" xr6:uid="{00000000-0010-0000-6300-000001000000}" uniqueName="1">
      <xmlPr mapId="43" xpath="/ns1:Root/ns1:M5/ns1:Budget_Approved__P12" xmlDataType="double"/>
    </xmlCellPr>
  </singleXmlCell>
  <singleXmlCell id="523" xr6:uid="{00000000-000C-0000-FFFF-FFFF64000000}" r="C98" connectionId="0">
    <xmlCellPr id="1" xr6:uid="{00000000-0010-0000-6400-000001000000}" uniqueName="1">
      <xmlPr mapId="43" xpath="/ns1:Root/ns1:M5/ns1:Obligations_P1" xmlDataType="double"/>
    </xmlCellPr>
  </singleXmlCell>
  <singleXmlCell id="524" xr6:uid="{00000000-000C-0000-FFFF-FFFF65000000}" r="D98" connectionId="0">
    <xmlCellPr id="1" xr6:uid="{00000000-0010-0000-6500-000001000000}" uniqueName="1">
      <xmlPr mapId="43" xpath="/ns1:Root/ns1:M5/ns1:Obligations_P2" xmlDataType="double"/>
    </xmlCellPr>
  </singleXmlCell>
  <singleXmlCell id="525" xr6:uid="{00000000-000C-0000-FFFF-FFFF66000000}" r="E98" connectionId="0">
    <xmlCellPr id="1" xr6:uid="{00000000-0010-0000-6600-000001000000}" uniqueName="1">
      <xmlPr mapId="43" xpath="/ns1:Root/ns1:M5/ns1:Obligations_P3" xmlDataType="double"/>
    </xmlCellPr>
  </singleXmlCell>
  <singleXmlCell id="526" xr6:uid="{00000000-000C-0000-FFFF-FFFF67000000}" r="F98" connectionId="0">
    <xmlCellPr id="1" xr6:uid="{00000000-0010-0000-6700-000001000000}" uniqueName="1">
      <xmlPr mapId="43" xpath="/ns1:Root/ns1:M5/ns1:Obligations_P4" xmlDataType="double"/>
    </xmlCellPr>
  </singleXmlCell>
  <singleXmlCell id="527" xr6:uid="{00000000-000C-0000-FFFF-FFFF68000000}" r="G98" connectionId="0">
    <xmlCellPr id="1" xr6:uid="{00000000-0010-0000-6800-000001000000}" uniqueName="1">
      <xmlPr mapId="43" xpath="/ns1:Root/ns1:M5/ns1:Obligations_P5" xmlDataType="double"/>
    </xmlCellPr>
  </singleXmlCell>
  <singleXmlCell id="528" xr6:uid="{00000000-000C-0000-FFFF-FFFF69000000}" r="H98" connectionId="0">
    <xmlCellPr id="1" xr6:uid="{00000000-0010-0000-6900-000001000000}" uniqueName="1">
      <xmlPr mapId="43" xpath="/ns1:Root/ns1:M5/ns1:Obligations_P6" xmlDataType="double"/>
    </xmlCellPr>
  </singleXmlCell>
  <singleXmlCell id="529" xr6:uid="{00000000-000C-0000-FFFF-FFFF6A000000}" r="I98" connectionId="0">
    <xmlCellPr id="1" xr6:uid="{00000000-0010-0000-6A00-000001000000}" uniqueName="1">
      <xmlPr mapId="43" xpath="/ns1:Root/ns1:M5/ns1:Obligations_P7" xmlDataType="double"/>
    </xmlCellPr>
  </singleXmlCell>
  <singleXmlCell id="530" xr6:uid="{00000000-000C-0000-FFFF-FFFF6B000000}" r="J98" connectionId="0">
    <xmlCellPr id="1" xr6:uid="{00000000-0010-0000-6B00-000001000000}" uniqueName="1">
      <xmlPr mapId="43" xpath="/ns1:Root/ns1:M5/ns1:Obligations_P8" xmlDataType="double"/>
    </xmlCellPr>
  </singleXmlCell>
  <singleXmlCell id="531" xr6:uid="{00000000-000C-0000-FFFF-FFFF6C000000}" r="K98" connectionId="0">
    <xmlCellPr id="1" xr6:uid="{00000000-0010-0000-6C00-000001000000}" uniqueName="1">
      <xmlPr mapId="43" xpath="/ns1:Root/ns1:M5/ns1:Obligations_P9" xmlDataType="double"/>
    </xmlCellPr>
  </singleXmlCell>
  <singleXmlCell id="532" xr6:uid="{00000000-000C-0000-FFFF-FFFF6D000000}" r="L98" connectionId="0">
    <xmlCellPr id="1" xr6:uid="{00000000-0010-0000-6D00-000001000000}" uniqueName="1">
      <xmlPr mapId="43" xpath="/ns1:Root/ns1:M5/ns1:Obligations_P10" xmlDataType="double"/>
    </xmlCellPr>
  </singleXmlCell>
  <singleXmlCell id="533" xr6:uid="{00000000-000C-0000-FFFF-FFFF6E000000}" r="M98" connectionId="0">
    <xmlCellPr id="1" xr6:uid="{00000000-0010-0000-6E00-000001000000}" uniqueName="1">
      <xmlPr mapId="43" xpath="/ns1:Root/ns1:M5/ns1:Obligations_P11" xmlDataType="double"/>
    </xmlCellPr>
  </singleXmlCell>
  <singleXmlCell id="534" xr6:uid="{00000000-000C-0000-FFFF-FFFF6F000000}" r="N98" connectionId="0">
    <xmlCellPr id="1" xr6:uid="{00000000-0010-0000-6F00-000001000000}" uniqueName="1">
      <xmlPr mapId="43" xpath="/ns1:Root/ns1:M5/ns1:Obligations_P12" xmlDataType="double"/>
    </xmlCellPr>
  </singleXmlCell>
  <singleXmlCell id="535" xr6:uid="{00000000-000C-0000-FFFF-FFFF70000000}" r="C99" connectionId="0">
    <xmlCellPr id="1" xr6:uid="{00000000-0010-0000-7000-000001000000}" uniqueName="1">
      <xmlPr mapId="43" xpath="/ns1:Root/ns1:M5/ns1:Expenditures_P1" xmlDataType="double"/>
    </xmlCellPr>
  </singleXmlCell>
  <singleXmlCell id="536" xr6:uid="{00000000-000C-0000-FFFF-FFFF71000000}" r="D99" connectionId="0">
    <xmlCellPr id="1" xr6:uid="{00000000-0010-0000-7100-000001000000}" uniqueName="1">
      <xmlPr mapId="43" xpath="/ns1:Root/ns1:M5/ns1:Expenditures_P2" xmlDataType="double"/>
    </xmlCellPr>
  </singleXmlCell>
  <singleXmlCell id="537" xr6:uid="{00000000-000C-0000-FFFF-FFFF72000000}" r="E99" connectionId="0">
    <xmlCellPr id="1" xr6:uid="{00000000-0010-0000-7200-000001000000}" uniqueName="1">
      <xmlPr mapId="43" xpath="/ns1:Root/ns1:M5/ns1:Expenditures_P3" xmlDataType="double"/>
    </xmlCellPr>
  </singleXmlCell>
  <singleXmlCell id="538" xr6:uid="{00000000-000C-0000-FFFF-FFFF73000000}" r="F99" connectionId="0">
    <xmlCellPr id="1" xr6:uid="{00000000-0010-0000-7300-000001000000}" uniqueName="1">
      <xmlPr mapId="43" xpath="/ns1:Root/ns1:M5/ns1:Expenditures_P4" xmlDataType="double"/>
    </xmlCellPr>
  </singleXmlCell>
  <singleXmlCell id="539" xr6:uid="{00000000-000C-0000-FFFF-FFFF74000000}" r="G99" connectionId="0">
    <xmlCellPr id="1" xr6:uid="{00000000-0010-0000-7400-000001000000}" uniqueName="1">
      <xmlPr mapId="43" xpath="/ns1:Root/ns1:M5/ns1:Expenditures_P5" xmlDataType="double"/>
    </xmlCellPr>
  </singleXmlCell>
  <singleXmlCell id="540" xr6:uid="{00000000-000C-0000-FFFF-FFFF75000000}" r="H99" connectionId="0">
    <xmlCellPr id="1" xr6:uid="{00000000-0010-0000-7500-000001000000}" uniqueName="1">
      <xmlPr mapId="43" xpath="/ns1:Root/ns1:M5/ns1:Expenditures_P6" xmlDataType="double"/>
    </xmlCellPr>
  </singleXmlCell>
  <singleXmlCell id="541" xr6:uid="{00000000-000C-0000-FFFF-FFFF76000000}" r="I99" connectionId="0">
    <xmlCellPr id="1" xr6:uid="{00000000-0010-0000-7600-000001000000}" uniqueName="1">
      <xmlPr mapId="43" xpath="/ns1:Root/ns1:M5/ns1:Expenditures_P7" xmlDataType="double"/>
    </xmlCellPr>
  </singleXmlCell>
  <singleXmlCell id="542" xr6:uid="{00000000-000C-0000-FFFF-FFFF77000000}" r="J99" connectionId="0">
    <xmlCellPr id="1" xr6:uid="{00000000-0010-0000-7700-000001000000}" uniqueName="1">
      <xmlPr mapId="43" xpath="/ns1:Root/ns1:M5/ns1:Expenditures_P8" xmlDataType="double"/>
    </xmlCellPr>
  </singleXmlCell>
  <singleXmlCell id="543" xr6:uid="{00000000-000C-0000-FFFF-FFFF78000000}" r="K99" connectionId="0">
    <xmlCellPr id="1" xr6:uid="{00000000-0010-0000-7800-000001000000}" uniqueName="1">
      <xmlPr mapId="43" xpath="/ns1:Root/ns1:M5/ns1:Expenditures_P9" xmlDataType="double"/>
    </xmlCellPr>
  </singleXmlCell>
  <singleXmlCell id="544" xr6:uid="{00000000-000C-0000-FFFF-FFFF79000000}" r="L99" connectionId="0">
    <xmlCellPr id="1" xr6:uid="{00000000-0010-0000-7900-000001000000}" uniqueName="1">
      <xmlPr mapId="43" xpath="/ns1:Root/ns1:M5/ns1:Expenditures_P10" xmlDataType="double"/>
    </xmlCellPr>
  </singleXmlCell>
  <singleXmlCell id="545" xr6:uid="{00000000-000C-0000-FFFF-FFFF7A000000}" r="M99" connectionId="0">
    <xmlCellPr id="1" xr6:uid="{00000000-0010-0000-7A00-000001000000}" uniqueName="1">
      <xmlPr mapId="43" xpath="/ns1:Root/ns1:M5/ns1:Expenditures_P11" xmlDataType="double"/>
    </xmlCellPr>
  </singleXmlCell>
  <singleXmlCell id="546" xr6:uid="{00000000-000C-0000-FFFF-FFFF7B000000}" r="N99" connectionId="0">
    <xmlCellPr id="1" xr6:uid="{00000000-0010-0000-7B00-000001000000}" uniqueName="1">
      <xmlPr mapId="43" xpath="/ns1:Root/ns1:M5/ns1:Expenditures_P12" xmlDataType="double"/>
    </xmlCellPr>
  </singleXmlCell>
  <singleXmlCell id="547" xr6:uid="{00000000-000C-0000-FFFF-FFFF7C000000}" r="C110" connectionId="0">
    <xmlCellPr id="1" xr6:uid="{00000000-0010-0000-7C00-000001000000}" uniqueName="1">
      <xmlPr mapId="43" xpath="/ns1:Root/ns1:M6/ns1:HIV___AIDS_Products" xmlDataType="string"/>
    </xmlCellPr>
  </singleXmlCell>
  <singleXmlCell id="548" xr6:uid="{00000000-000C-0000-FFFF-FFFF7D000000}" r="D110"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0" connectionId="0">
    <xmlCellPr id="1" xr6:uid="{00000000-0010-0000-7E00-000001000000}" uniqueName="1">
      <xmlPr mapId="43" xpath="/ns1:Root/ns1:M6/ns1:HIV___AIDS__3__Total_patients_in_treatment" xmlDataType="double"/>
    </xmlCellPr>
  </singleXmlCell>
  <singleXmlCell id="550" xr6:uid="{00000000-000C-0000-FFFF-FFFF7F000000}" r="H110"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0"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1" connectionId="0">
    <xmlCellPr id="1" xr6:uid="{00000000-0010-0000-8100-000001000000}" uniqueName="1">
      <xmlPr mapId="43" xpath="/ns1:Root/ns1:M6/ns1:_Products_1" xmlDataType="string"/>
    </xmlCellPr>
  </singleXmlCell>
  <singleXmlCell id="553" xr6:uid="{00000000-000C-0000-FFFF-FFFF82000000}" r="D111"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1" connectionId="0">
    <xmlCellPr id="1" xr6:uid="{00000000-0010-0000-8300-000001000000}" uniqueName="1">
      <xmlPr mapId="43" xpath="/ns1:Root/ns1:M6/ns1:__3__Total_patients_in_treatment_1" xmlDataType="double"/>
    </xmlCellPr>
  </singleXmlCell>
  <singleXmlCell id="555" xr6:uid="{00000000-000C-0000-FFFF-FFFF84000000}" r="H111"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1"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2" connectionId="0">
    <xmlCellPr id="1" xr6:uid="{00000000-0010-0000-8600-000001000000}" uniqueName="1">
      <xmlPr mapId="43" xpath="/ns1:Root/ns1:M6/ns1:_Products_2" xmlDataType="string"/>
    </xmlCellPr>
  </singleXmlCell>
  <singleXmlCell id="558" xr6:uid="{00000000-000C-0000-FFFF-FFFF87000000}" r="D112"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2" connectionId="0">
    <xmlCellPr id="1" xr6:uid="{00000000-0010-0000-8800-000001000000}" uniqueName="1">
      <xmlPr mapId="43" xpath="/ns1:Root/ns1:M6/ns1:__3__Total_patients_in_treatment_2" xmlDataType="double"/>
    </xmlCellPr>
  </singleXmlCell>
  <singleXmlCell id="560" xr6:uid="{00000000-000C-0000-FFFF-FFFF89000000}" r="H112"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2"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3" connectionId="0">
    <xmlCellPr id="1" xr6:uid="{00000000-0010-0000-8B00-000001000000}" uniqueName="1">
      <xmlPr mapId="43" xpath="/ns1:Root/ns1:M6/ns1:_Products" xmlDataType="string"/>
    </xmlCellPr>
  </singleXmlCell>
  <singleXmlCell id="563" xr6:uid="{00000000-000C-0000-FFFF-FFFF8C000000}" r="D113"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3" connectionId="0">
    <xmlCellPr id="1" xr6:uid="{00000000-0010-0000-8D00-000001000000}" uniqueName="1">
      <xmlPr mapId="43" xpath="/ns1:Root/ns1:M6/ns1:__3__Total_patients_in_treatment" xmlDataType="double"/>
    </xmlCellPr>
  </singleXmlCell>
  <singleXmlCell id="565" xr6:uid="{00000000-000C-0000-FFFF-FFFF8E000000}" r="H113"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3"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9" connectionId="0">
    <xmlCellPr id="1" xr6:uid="{00000000-0010-0000-9000-000001000000}" uniqueName="1">
      <xmlPr mapId="43" xpath="/ns1:Root/ns1:Prog/ns1:Target_P1_1" xmlDataType="double"/>
    </xmlCellPr>
  </singleXmlCell>
  <singleXmlCell id="568" xr6:uid="{00000000-000C-0000-FFFF-FFFF91000000}" r="I119" connectionId="0">
    <xmlCellPr id="1" xr6:uid="{00000000-0010-0000-9100-000001000000}" uniqueName="1">
      <xmlPr mapId="43" xpath="/ns1:Root/ns1:Prog/ns1:Target_P2_1" xmlDataType="double"/>
    </xmlCellPr>
  </singleXmlCell>
  <singleXmlCell id="569" xr6:uid="{00000000-000C-0000-FFFF-FFFF92000000}" r="J119" connectionId="0">
    <xmlCellPr id="1" xr6:uid="{00000000-0010-0000-9200-000001000000}" uniqueName="1">
      <xmlPr mapId="43" xpath="/ns1:Root/ns1:Prog/ns1:Target_P3_1" xmlDataType="double"/>
    </xmlCellPr>
  </singleXmlCell>
  <singleXmlCell id="570" xr6:uid="{00000000-000C-0000-FFFF-FFFF93000000}" r="K119" connectionId="0">
    <xmlCellPr id="1" xr6:uid="{00000000-0010-0000-9300-000001000000}" uniqueName="1">
      <xmlPr mapId="43" xpath="/ns1:Root/ns1:Prog/ns1:Target_P4_1" xmlDataType="double"/>
    </xmlCellPr>
  </singleXmlCell>
  <singleXmlCell id="571" xr6:uid="{00000000-000C-0000-FFFF-FFFF94000000}" r="L119" connectionId="0">
    <xmlCellPr id="1" xr6:uid="{00000000-0010-0000-9400-000001000000}" uniqueName="1">
      <xmlPr mapId="43" xpath="/ns1:Root/ns1:Prog/ns1:Target_P5_1" xmlDataType="double"/>
    </xmlCellPr>
  </singleXmlCell>
  <singleXmlCell id="572" xr6:uid="{00000000-000C-0000-FFFF-FFFF95000000}" r="M119" connectionId="0">
    <xmlCellPr id="1" xr6:uid="{00000000-0010-0000-9500-000001000000}" uniqueName="1">
      <xmlPr mapId="43" xpath="/ns1:Root/ns1:Prog/ns1:Target_P6_1" xmlDataType="double"/>
    </xmlCellPr>
  </singleXmlCell>
  <singleXmlCell id="573" xr6:uid="{00000000-000C-0000-FFFF-FFFF96000000}" r="N119" connectionId="0">
    <xmlCellPr id="1" xr6:uid="{00000000-0010-0000-9600-000001000000}" uniqueName="1">
      <xmlPr mapId="43" xpath="/ns1:Root/ns1:Prog/ns1:Target_P7_1" xmlDataType="double"/>
    </xmlCellPr>
  </singleXmlCell>
  <singleXmlCell id="574" xr6:uid="{00000000-000C-0000-FFFF-FFFF97000000}" r="O119" connectionId="0">
    <xmlCellPr id="1" xr6:uid="{00000000-0010-0000-9700-000001000000}" uniqueName="1">
      <xmlPr mapId="43" xpath="/ns1:Root/ns1:Prog/ns1:Target_P8_1" xmlDataType="double"/>
    </xmlCellPr>
  </singleXmlCell>
  <singleXmlCell id="575" xr6:uid="{00000000-000C-0000-FFFF-FFFF98000000}" r="P119" connectionId="0">
    <xmlCellPr id="1" xr6:uid="{00000000-0010-0000-9800-000001000000}" uniqueName="1">
      <xmlPr mapId="43" xpath="/ns1:Root/ns1:Prog/ns1:Target_P9_1" xmlDataType="double"/>
    </xmlCellPr>
  </singleXmlCell>
  <singleXmlCell id="576" xr6:uid="{00000000-000C-0000-FFFF-FFFF99000000}" r="Q119" connectionId="0">
    <xmlCellPr id="1" xr6:uid="{00000000-0010-0000-9900-000001000000}" uniqueName="1">
      <xmlPr mapId="43" xpath="/ns1:Root/ns1:Prog/ns1:Target_P10_1" xmlDataType="double"/>
    </xmlCellPr>
  </singleXmlCell>
  <singleXmlCell id="577" xr6:uid="{00000000-000C-0000-FFFF-FFFF9A000000}" r="R119" connectionId="0">
    <xmlCellPr id="1" xr6:uid="{00000000-0010-0000-9A00-000001000000}" uniqueName="1">
      <xmlPr mapId="43" xpath="/ns1:Root/ns1:Prog/ns1:Target_P11_1" xmlDataType="double"/>
    </xmlCellPr>
  </singleXmlCell>
  <singleXmlCell id="578" xr6:uid="{00000000-000C-0000-FFFF-FFFF9B000000}" r="S119" connectionId="0">
    <xmlCellPr id="1" xr6:uid="{00000000-0010-0000-9B00-000001000000}" uniqueName="1">
      <xmlPr mapId="43" xpath="/ns1:Root/ns1:Prog/ns1:Target_P12_1" xmlDataType="double"/>
    </xmlCellPr>
  </singleXmlCell>
  <singleXmlCell id="579" xr6:uid="{00000000-000C-0000-FFFF-FFFF9C000000}" r="H120" connectionId="0">
    <xmlCellPr id="1" xr6:uid="{00000000-0010-0000-9C00-000001000000}" uniqueName="1">
      <xmlPr mapId="43" xpath="/ns1:Root/ns1:Prog/ns1:Achieved__P1_1" xmlDataType="double"/>
    </xmlCellPr>
  </singleXmlCell>
  <singleXmlCell id="580" xr6:uid="{00000000-000C-0000-FFFF-FFFF9D000000}" r="I120" connectionId="0">
    <xmlCellPr id="1" xr6:uid="{00000000-0010-0000-9D00-000001000000}" uniqueName="1">
      <xmlPr mapId="43" xpath="/ns1:Root/ns1:Prog/ns1:Achieved__P2_1" xmlDataType="double"/>
    </xmlCellPr>
  </singleXmlCell>
  <singleXmlCell id="581" xr6:uid="{00000000-000C-0000-FFFF-FFFF9E000000}" r="J120" connectionId="0">
    <xmlCellPr id="1" xr6:uid="{00000000-0010-0000-9E00-000001000000}" uniqueName="1">
      <xmlPr mapId="43" xpath="/ns1:Root/ns1:Prog/ns1:Achieved__P3_1" xmlDataType="double"/>
    </xmlCellPr>
  </singleXmlCell>
  <singleXmlCell id="582" xr6:uid="{00000000-000C-0000-FFFF-FFFF9F000000}" r="K120" connectionId="0">
    <xmlCellPr id="1" xr6:uid="{00000000-0010-0000-9F00-000001000000}" uniqueName="1">
      <xmlPr mapId="43" xpath="/ns1:Root/ns1:Prog/ns1:Achieved__P4_1" xmlDataType="double"/>
    </xmlCellPr>
  </singleXmlCell>
  <singleXmlCell id="583" xr6:uid="{00000000-000C-0000-FFFF-FFFFA0000000}" r="L120" connectionId="0">
    <xmlCellPr id="1" xr6:uid="{00000000-0010-0000-A000-000001000000}" uniqueName="1">
      <xmlPr mapId="43" xpath="/ns1:Root/ns1:Prog/ns1:Achieved__P5_1" xmlDataType="string"/>
    </xmlCellPr>
  </singleXmlCell>
  <singleXmlCell id="584" xr6:uid="{00000000-000C-0000-FFFF-FFFFA1000000}" r="M120" connectionId="0">
    <xmlCellPr id="1" xr6:uid="{00000000-0010-0000-A100-000001000000}" uniqueName="1">
      <xmlPr mapId="43" xpath="/ns1:Root/ns1:Prog/ns1:Achieved__P6_1" xmlDataType="string"/>
    </xmlCellPr>
  </singleXmlCell>
  <singleXmlCell id="585" xr6:uid="{00000000-000C-0000-FFFF-FFFFA2000000}" r="N120" connectionId="0">
    <xmlCellPr id="1" xr6:uid="{00000000-0010-0000-A200-000001000000}" uniqueName="1">
      <xmlPr mapId="43" xpath="/ns1:Root/ns1:Prog/ns1:Achieved__P7_1" xmlDataType="string"/>
    </xmlCellPr>
  </singleXmlCell>
  <singleXmlCell id="586" xr6:uid="{00000000-000C-0000-FFFF-FFFFA3000000}" r="O120" connectionId="0">
    <xmlCellPr id="1" xr6:uid="{00000000-0010-0000-A300-000001000000}" uniqueName="1">
      <xmlPr mapId="43" xpath="/ns1:Root/ns1:Prog/ns1:Achieved__P8_1" xmlDataType="string"/>
    </xmlCellPr>
  </singleXmlCell>
  <singleXmlCell id="587" xr6:uid="{00000000-000C-0000-FFFF-FFFFA4000000}" r="P120" connectionId="0">
    <xmlCellPr id="1" xr6:uid="{00000000-0010-0000-A400-000001000000}" uniqueName="1">
      <xmlPr mapId="43" xpath="/ns1:Root/ns1:Prog/ns1:Achieved__P9_1" xmlDataType="string"/>
    </xmlCellPr>
  </singleXmlCell>
  <singleXmlCell id="588" xr6:uid="{00000000-000C-0000-FFFF-FFFFA5000000}" r="Q120" connectionId="0">
    <xmlCellPr id="1" xr6:uid="{00000000-0010-0000-A500-000001000000}" uniqueName="1">
      <xmlPr mapId="43" xpath="/ns1:Root/ns1:Prog/ns1:Achieved__P10_1" xmlDataType="string"/>
    </xmlCellPr>
  </singleXmlCell>
  <singleXmlCell id="589" xr6:uid="{00000000-000C-0000-FFFF-FFFFA6000000}" r="R120" connectionId="0">
    <xmlCellPr id="1" xr6:uid="{00000000-0010-0000-A600-000001000000}" uniqueName="1">
      <xmlPr mapId="43" xpath="/ns1:Root/ns1:Prog/ns1:Achieved__P11_1" xmlDataType="string"/>
    </xmlCellPr>
  </singleXmlCell>
  <singleXmlCell id="590" xr6:uid="{00000000-000C-0000-FFFF-FFFFA7000000}" r="S120" connectionId="0">
    <xmlCellPr id="1" xr6:uid="{00000000-0010-0000-A700-000001000000}" uniqueName="1">
      <xmlPr mapId="43" xpath="/ns1:Root/ns1:Prog/ns1:Achieved__P12_1" xmlDataType="string"/>
    </xmlCellPr>
  </singleXmlCell>
  <singleXmlCell id="599" xr6:uid="{00000000-000C-0000-FFFF-FFFFA8000000}" r="Q121" connectionId="0">
    <xmlCellPr id="1" xr6:uid="{00000000-0010-0000-A800-000001000000}" uniqueName="1">
      <xmlPr mapId="43" xpath="/ns1:Root/ns1:Prog/ns1:Target_P10_2" xmlDataType="double"/>
    </xmlCellPr>
  </singleXmlCell>
  <singleXmlCell id="600" xr6:uid="{00000000-000C-0000-FFFF-FFFFA9000000}" r="R121" connectionId="0">
    <xmlCellPr id="1" xr6:uid="{00000000-0010-0000-A900-000001000000}" uniqueName="1">
      <xmlPr mapId="43" xpath="/ns1:Root/ns1:Prog/ns1:Target_P11_2" xmlDataType="double"/>
    </xmlCellPr>
  </singleXmlCell>
  <singleXmlCell id="601" xr6:uid="{00000000-000C-0000-FFFF-FFFFAA000000}" r="S121" connectionId="0">
    <xmlCellPr id="1" xr6:uid="{00000000-0010-0000-AA00-000001000000}" uniqueName="1">
      <xmlPr mapId="43" xpath="/ns1:Root/ns1:Prog/ns1:Target_P12_2" xmlDataType="double"/>
    </xmlCellPr>
  </singleXmlCell>
  <singleXmlCell id="611" xr6:uid="{00000000-000C-0000-FFFF-FFFFAB000000}" r="Q122" connectionId="0">
    <xmlCellPr id="1" xr6:uid="{00000000-0010-0000-AB00-000001000000}" uniqueName="1">
      <xmlPr mapId="43" xpath="/ns1:Root/ns1:Prog/ns1:Achieved__P10_2" xmlDataType="string"/>
    </xmlCellPr>
  </singleXmlCell>
  <singleXmlCell id="612" xr6:uid="{00000000-000C-0000-FFFF-FFFFAC000000}" r="R122" connectionId="0">
    <xmlCellPr id="1" xr6:uid="{00000000-0010-0000-AC00-000001000000}" uniqueName="1">
      <xmlPr mapId="43" xpath="/ns1:Root/ns1:Prog/ns1:Achieved__P11_2" xmlDataType="string"/>
    </xmlCellPr>
  </singleXmlCell>
  <singleXmlCell id="613" xr6:uid="{00000000-000C-0000-FFFF-FFFFAD000000}" r="S122" connectionId="0">
    <xmlCellPr id="1" xr6:uid="{00000000-0010-0000-AD00-000001000000}" uniqueName="1">
      <xmlPr mapId="43" xpath="/ns1:Root/ns1:Prog/ns1:Achieved__P12_2" xmlDataType="string"/>
    </xmlCellPr>
  </singleXmlCell>
  <singleXmlCell id="662" xr6:uid="{00000000-000C-0000-FFFF-FFFFAE000000}" r="H125" connectionId="0">
    <xmlCellPr id="1" xr6:uid="{00000000-0010-0000-AE00-000001000000}" uniqueName="1">
      <xmlPr mapId="43" xpath="/ns1:Root/ns1:Prog/ns1:Target_P1_5" xmlDataType="double"/>
    </xmlCellPr>
  </singleXmlCell>
  <singleXmlCell id="663" xr6:uid="{00000000-000C-0000-FFFF-FFFFAF000000}" r="I125" connectionId="0">
    <xmlCellPr id="1" xr6:uid="{00000000-0010-0000-AF00-000001000000}" uniqueName="1">
      <xmlPr mapId="43" xpath="/ns1:Root/ns1:Prog/ns1:Target_P2_5" xmlDataType="double"/>
    </xmlCellPr>
  </singleXmlCell>
  <singleXmlCell id="664" xr6:uid="{00000000-000C-0000-FFFF-FFFFB0000000}" r="J125" connectionId="0">
    <xmlCellPr id="1" xr6:uid="{00000000-0010-0000-B000-000001000000}" uniqueName="1">
      <xmlPr mapId="43" xpath="/ns1:Root/ns1:Prog/ns1:Target_P3_5" xmlDataType="double"/>
    </xmlCellPr>
  </singleXmlCell>
  <singleXmlCell id="665" xr6:uid="{00000000-000C-0000-FFFF-FFFFB1000000}" r="K125" connectionId="0">
    <xmlCellPr id="1" xr6:uid="{00000000-0010-0000-B100-000001000000}" uniqueName="1">
      <xmlPr mapId="43" xpath="/ns1:Root/ns1:Prog/ns1:Target_P4_5" xmlDataType="double"/>
    </xmlCellPr>
  </singleXmlCell>
  <singleXmlCell id="666" xr6:uid="{00000000-000C-0000-FFFF-FFFFB2000000}" r="L125" connectionId="0">
    <xmlCellPr id="1" xr6:uid="{00000000-0010-0000-B200-000001000000}" uniqueName="1">
      <xmlPr mapId="43" xpath="/ns1:Root/ns1:Prog/ns1:Target_P5_5" xmlDataType="double"/>
    </xmlCellPr>
  </singleXmlCell>
  <singleXmlCell id="667" xr6:uid="{00000000-000C-0000-FFFF-FFFFB3000000}" r="M125" connectionId="0">
    <xmlCellPr id="1" xr6:uid="{00000000-0010-0000-B300-000001000000}" uniqueName="1">
      <xmlPr mapId="43" xpath="/ns1:Root/ns1:Prog/ns1:Target_P6_5" xmlDataType="double"/>
    </xmlCellPr>
  </singleXmlCell>
  <singleXmlCell id="668" xr6:uid="{00000000-000C-0000-FFFF-FFFFB4000000}" r="N125" connectionId="0">
    <xmlCellPr id="1" xr6:uid="{00000000-0010-0000-B400-000001000000}" uniqueName="1">
      <xmlPr mapId="43" xpath="/ns1:Root/ns1:Prog/ns1:Target_P7_5" xmlDataType="double"/>
    </xmlCellPr>
  </singleXmlCell>
  <singleXmlCell id="669" xr6:uid="{00000000-000C-0000-FFFF-FFFFB5000000}" r="O125" connectionId="0">
    <xmlCellPr id="1" xr6:uid="{00000000-0010-0000-B500-000001000000}" uniqueName="1">
      <xmlPr mapId="43" xpath="/ns1:Root/ns1:Prog/ns1:Target_P8_5" xmlDataType="double"/>
    </xmlCellPr>
  </singleXmlCell>
  <singleXmlCell id="670" xr6:uid="{00000000-000C-0000-FFFF-FFFFB6000000}" r="P125" connectionId="0">
    <xmlCellPr id="1" xr6:uid="{00000000-0010-0000-B600-000001000000}" uniqueName="1">
      <xmlPr mapId="43" xpath="/ns1:Root/ns1:Prog/ns1:Target_P9_5" xmlDataType="double"/>
    </xmlCellPr>
  </singleXmlCell>
  <singleXmlCell id="671" xr6:uid="{00000000-000C-0000-FFFF-FFFFB7000000}" r="Q125" connectionId="0">
    <xmlCellPr id="1" xr6:uid="{00000000-0010-0000-B700-000001000000}" uniqueName="1">
      <xmlPr mapId="43" xpath="/ns1:Root/ns1:Prog/ns1:Target_P10_5" xmlDataType="double"/>
    </xmlCellPr>
  </singleXmlCell>
  <singleXmlCell id="672" xr6:uid="{00000000-000C-0000-FFFF-FFFFB8000000}" r="R125" connectionId="0">
    <xmlCellPr id="1" xr6:uid="{00000000-0010-0000-B800-000001000000}" uniqueName="1">
      <xmlPr mapId="43" xpath="/ns1:Root/ns1:Prog/ns1:Target_P11_5" xmlDataType="double"/>
    </xmlCellPr>
  </singleXmlCell>
  <singleXmlCell id="673" xr6:uid="{00000000-000C-0000-FFFF-FFFFB9000000}" r="S125" connectionId="0">
    <xmlCellPr id="1" xr6:uid="{00000000-0010-0000-B900-000001000000}" uniqueName="1">
      <xmlPr mapId="43" xpath="/ns1:Root/ns1:Prog/ns1:Target_P12_5" xmlDataType="double"/>
    </xmlCellPr>
  </singleXmlCell>
  <singleXmlCell id="674" xr6:uid="{00000000-000C-0000-FFFF-FFFFBA000000}" r="H126" connectionId="0">
    <xmlCellPr id="1" xr6:uid="{00000000-0010-0000-BA00-000001000000}" uniqueName="1">
      <xmlPr mapId="43" xpath="/ns1:Root/ns1:Prog/ns1:Achieved__P1_5" xmlDataType="double"/>
    </xmlCellPr>
  </singleXmlCell>
  <singleXmlCell id="675" xr6:uid="{00000000-000C-0000-FFFF-FFFFBB000000}" r="I126" connectionId="0">
    <xmlCellPr id="1" xr6:uid="{00000000-0010-0000-BB00-000001000000}" uniqueName="1">
      <xmlPr mapId="43" xpath="/ns1:Root/ns1:Prog/ns1:Achieved__P2_5" xmlDataType="double"/>
    </xmlCellPr>
  </singleXmlCell>
  <singleXmlCell id="676" xr6:uid="{00000000-000C-0000-FFFF-FFFFBC000000}" r="J126" connectionId="0">
    <xmlCellPr id="1" xr6:uid="{00000000-0010-0000-BC00-000001000000}" uniqueName="1">
      <xmlPr mapId="43" xpath="/ns1:Root/ns1:Prog/ns1:Achieved__P3_5" xmlDataType="double"/>
    </xmlCellPr>
  </singleXmlCell>
  <singleXmlCell id="677" xr6:uid="{00000000-000C-0000-FFFF-FFFFBD000000}" r="K126" connectionId="0">
    <xmlCellPr id="1" xr6:uid="{00000000-0010-0000-BD00-000001000000}" uniqueName="1">
      <xmlPr mapId="43" xpath="/ns1:Root/ns1:Prog/ns1:Achieved__P4_5" xmlDataType="double"/>
    </xmlCellPr>
  </singleXmlCell>
  <singleXmlCell id="678" xr6:uid="{00000000-000C-0000-FFFF-FFFFBE000000}" r="L126" connectionId="0">
    <xmlCellPr id="1" xr6:uid="{00000000-0010-0000-BE00-000001000000}" uniqueName="1">
      <xmlPr mapId="43" xpath="/ns1:Root/ns1:Prog/ns1:Achieved__P5_5" xmlDataType="string"/>
    </xmlCellPr>
  </singleXmlCell>
  <singleXmlCell id="679" xr6:uid="{00000000-000C-0000-FFFF-FFFFBF000000}" r="M126" connectionId="0">
    <xmlCellPr id="1" xr6:uid="{00000000-0010-0000-BF00-000001000000}" uniqueName="1">
      <xmlPr mapId="43" xpath="/ns1:Root/ns1:Prog/ns1:Achieved__P6_5" xmlDataType="string"/>
    </xmlCellPr>
  </singleXmlCell>
  <singleXmlCell id="680" xr6:uid="{00000000-000C-0000-FFFF-FFFFC0000000}" r="N126" connectionId="0">
    <xmlCellPr id="1" xr6:uid="{00000000-0010-0000-C000-000001000000}" uniqueName="1">
      <xmlPr mapId="43" xpath="/ns1:Root/ns1:Prog/ns1:Achieved__P7_5" xmlDataType="string"/>
    </xmlCellPr>
  </singleXmlCell>
  <singleXmlCell id="681" xr6:uid="{00000000-000C-0000-FFFF-FFFFC1000000}" r="O126" connectionId="0">
    <xmlCellPr id="1" xr6:uid="{00000000-0010-0000-C100-000001000000}" uniqueName="1">
      <xmlPr mapId="43" xpath="/ns1:Root/ns1:Prog/ns1:Achieved__P8_5" xmlDataType="string"/>
    </xmlCellPr>
  </singleXmlCell>
  <singleXmlCell id="682" xr6:uid="{00000000-000C-0000-FFFF-FFFFC2000000}" r="P126" connectionId="0">
    <xmlCellPr id="1" xr6:uid="{00000000-0010-0000-C200-000001000000}" uniqueName="1">
      <xmlPr mapId="43" xpath="/ns1:Root/ns1:Prog/ns1:Achieved__P9_5" xmlDataType="string"/>
    </xmlCellPr>
  </singleXmlCell>
  <singleXmlCell id="683" xr6:uid="{00000000-000C-0000-FFFF-FFFFC3000000}" r="Q126" connectionId="0">
    <xmlCellPr id="1" xr6:uid="{00000000-0010-0000-C300-000001000000}" uniqueName="1">
      <xmlPr mapId="43" xpath="/ns1:Root/ns1:Prog/ns1:Achieved__P10_5" xmlDataType="string"/>
    </xmlCellPr>
  </singleXmlCell>
  <singleXmlCell id="684" xr6:uid="{00000000-000C-0000-FFFF-FFFFC4000000}" r="R126" connectionId="0">
    <xmlCellPr id="1" xr6:uid="{00000000-0010-0000-C400-000001000000}" uniqueName="1">
      <xmlPr mapId="43" xpath="/ns1:Root/ns1:Prog/ns1:Achieved__P11_5" xmlDataType="string"/>
    </xmlCellPr>
  </singleXmlCell>
  <singleXmlCell id="685" xr6:uid="{00000000-000C-0000-FFFF-FFFFC5000000}" r="S126" connectionId="0">
    <xmlCellPr id="1" xr6:uid="{00000000-0010-0000-C500-000001000000}" uniqueName="1">
      <xmlPr mapId="43" xpath="/ns1:Root/ns1:Prog/ns1:Achieved__P12_5" xmlDataType="string"/>
    </xmlCellPr>
  </singleXmlCell>
  <singleXmlCell id="686" xr6:uid="{00000000-000C-0000-FFFF-FFFFC6000000}" r="H127" connectionId="0">
    <xmlCellPr id="1" xr6:uid="{00000000-0010-0000-C600-000001000000}" uniqueName="1">
      <xmlPr mapId="43" xpath="/ns1:Root/ns1:Prog/ns1:Target_P1_6" xmlDataType="double"/>
    </xmlCellPr>
  </singleXmlCell>
  <singleXmlCell id="687" xr6:uid="{00000000-000C-0000-FFFF-FFFFC7000000}" r="I127" connectionId="0">
    <xmlCellPr id="1" xr6:uid="{00000000-0010-0000-C700-000001000000}" uniqueName="1">
      <xmlPr mapId="43" xpath="/ns1:Root/ns1:Prog/ns1:Target_P2_6" xmlDataType="double"/>
    </xmlCellPr>
  </singleXmlCell>
  <singleXmlCell id="688" xr6:uid="{00000000-000C-0000-FFFF-FFFFC8000000}" r="J127" connectionId="0">
    <xmlCellPr id="1" xr6:uid="{00000000-0010-0000-C800-000001000000}" uniqueName="1">
      <xmlPr mapId="43" xpath="/ns1:Root/ns1:Prog/ns1:Target_P3_6" xmlDataType="double"/>
    </xmlCellPr>
  </singleXmlCell>
  <singleXmlCell id="689" xr6:uid="{00000000-000C-0000-FFFF-FFFFC9000000}" r="K127" connectionId="0">
    <xmlCellPr id="1" xr6:uid="{00000000-0010-0000-C900-000001000000}" uniqueName="1">
      <xmlPr mapId="43" xpath="/ns1:Root/ns1:Prog/ns1:Target_P4_6" xmlDataType="double"/>
    </xmlCellPr>
  </singleXmlCell>
  <singleXmlCell id="690" xr6:uid="{00000000-000C-0000-FFFF-FFFFCA000000}" r="L127" connectionId="0">
    <xmlCellPr id="1" xr6:uid="{00000000-0010-0000-CA00-000001000000}" uniqueName="1">
      <xmlPr mapId="43" xpath="/ns1:Root/ns1:Prog/ns1:Target_P5_6" xmlDataType="double"/>
    </xmlCellPr>
  </singleXmlCell>
  <singleXmlCell id="691" xr6:uid="{00000000-000C-0000-FFFF-FFFFCB000000}" r="M127" connectionId="0">
    <xmlCellPr id="1" xr6:uid="{00000000-0010-0000-CB00-000001000000}" uniqueName="1">
      <xmlPr mapId="43" xpath="/ns1:Root/ns1:Prog/ns1:Target_P6_6" xmlDataType="double"/>
    </xmlCellPr>
  </singleXmlCell>
  <singleXmlCell id="692" xr6:uid="{00000000-000C-0000-FFFF-FFFFCC000000}" r="N127" connectionId="0">
    <xmlCellPr id="1" xr6:uid="{00000000-0010-0000-CC00-000001000000}" uniqueName="1">
      <xmlPr mapId="43" xpath="/ns1:Root/ns1:Prog/ns1:Target_P7_6" xmlDataType="double"/>
    </xmlCellPr>
  </singleXmlCell>
  <singleXmlCell id="693" xr6:uid="{00000000-000C-0000-FFFF-FFFFCD000000}" r="O127" connectionId="0">
    <xmlCellPr id="1" xr6:uid="{00000000-0010-0000-CD00-000001000000}" uniqueName="1">
      <xmlPr mapId="43" xpath="/ns1:Root/ns1:Prog/ns1:Target_P8_6" xmlDataType="double"/>
    </xmlCellPr>
  </singleXmlCell>
  <singleXmlCell id="694" xr6:uid="{00000000-000C-0000-FFFF-FFFFCE000000}" r="P127" connectionId="0">
    <xmlCellPr id="1" xr6:uid="{00000000-0010-0000-CE00-000001000000}" uniqueName="1">
      <xmlPr mapId="43" xpath="/ns1:Root/ns1:Prog/ns1:Target_P9_6" xmlDataType="double"/>
    </xmlCellPr>
  </singleXmlCell>
  <singleXmlCell id="695" xr6:uid="{00000000-000C-0000-FFFF-FFFFCF000000}" r="Q127" connectionId="0">
    <xmlCellPr id="1" xr6:uid="{00000000-0010-0000-CF00-000001000000}" uniqueName="1">
      <xmlPr mapId="43" xpath="/ns1:Root/ns1:Prog/ns1:Target_P10_6" xmlDataType="double"/>
    </xmlCellPr>
  </singleXmlCell>
  <singleXmlCell id="696" xr6:uid="{00000000-000C-0000-FFFF-FFFFD0000000}" r="R127" connectionId="0">
    <xmlCellPr id="1" xr6:uid="{00000000-0010-0000-D000-000001000000}" uniqueName="1">
      <xmlPr mapId="43" xpath="/ns1:Root/ns1:Prog/ns1:Target_P11_6" xmlDataType="double"/>
    </xmlCellPr>
  </singleXmlCell>
  <singleXmlCell id="697" xr6:uid="{00000000-000C-0000-FFFF-FFFFD1000000}" r="S127" connectionId="0">
    <xmlCellPr id="1" xr6:uid="{00000000-0010-0000-D100-000001000000}" uniqueName="1">
      <xmlPr mapId="43" xpath="/ns1:Root/ns1:Prog/ns1:Target_P12_6" xmlDataType="double"/>
    </xmlCellPr>
  </singleXmlCell>
  <singleXmlCell id="698" xr6:uid="{00000000-000C-0000-FFFF-FFFFD2000000}" r="H128" connectionId="0">
    <xmlCellPr id="1" xr6:uid="{00000000-0010-0000-D200-000001000000}" uniqueName="1">
      <xmlPr mapId="43" xpath="/ns1:Root/ns1:Prog/ns1:Achieved__P1_6" xmlDataType="double"/>
    </xmlCellPr>
  </singleXmlCell>
  <singleXmlCell id="699" xr6:uid="{00000000-000C-0000-FFFF-FFFFD3000000}" r="I128" connectionId="0">
    <xmlCellPr id="1" xr6:uid="{00000000-0010-0000-D300-000001000000}" uniqueName="1">
      <xmlPr mapId="43" xpath="/ns1:Root/ns1:Prog/ns1:Achieved__P2_6" xmlDataType="double"/>
    </xmlCellPr>
  </singleXmlCell>
  <singleXmlCell id="700" xr6:uid="{00000000-000C-0000-FFFF-FFFFD4000000}" r="J128" connectionId="0">
    <xmlCellPr id="1" xr6:uid="{00000000-0010-0000-D400-000001000000}" uniqueName="1">
      <xmlPr mapId="43" xpath="/ns1:Root/ns1:Prog/ns1:Achieved__P3_6" xmlDataType="double"/>
    </xmlCellPr>
  </singleXmlCell>
  <singleXmlCell id="701" xr6:uid="{00000000-000C-0000-FFFF-FFFFD5000000}" r="K128" connectionId="0">
    <xmlCellPr id="1" xr6:uid="{00000000-0010-0000-D500-000001000000}" uniqueName="1">
      <xmlPr mapId="43" xpath="/ns1:Root/ns1:Prog/ns1:Achieved__P4_6" xmlDataType="double"/>
    </xmlCellPr>
  </singleXmlCell>
  <singleXmlCell id="702" xr6:uid="{00000000-000C-0000-FFFF-FFFFD6000000}" r="L128" connectionId="0">
    <xmlCellPr id="1" xr6:uid="{00000000-0010-0000-D600-000001000000}" uniqueName="1">
      <xmlPr mapId="43" xpath="/ns1:Root/ns1:Prog/ns1:Achieved__P5_6" xmlDataType="string"/>
    </xmlCellPr>
  </singleXmlCell>
  <singleXmlCell id="703" xr6:uid="{00000000-000C-0000-FFFF-FFFFD7000000}" r="M128" connectionId="0">
    <xmlCellPr id="1" xr6:uid="{00000000-0010-0000-D700-000001000000}" uniqueName="1">
      <xmlPr mapId="43" xpath="/ns1:Root/ns1:Prog/ns1:Achieved__P6_6" xmlDataType="string"/>
    </xmlCellPr>
  </singleXmlCell>
  <singleXmlCell id="704" xr6:uid="{00000000-000C-0000-FFFF-FFFFD8000000}" r="N128" connectionId="0">
    <xmlCellPr id="1" xr6:uid="{00000000-0010-0000-D800-000001000000}" uniqueName="1">
      <xmlPr mapId="43" xpath="/ns1:Root/ns1:Prog/ns1:Achieved__P7_6" xmlDataType="string"/>
    </xmlCellPr>
  </singleXmlCell>
  <singleXmlCell id="705" xr6:uid="{00000000-000C-0000-FFFF-FFFFD9000000}" r="O128" connectionId="0">
    <xmlCellPr id="1" xr6:uid="{00000000-0010-0000-D900-000001000000}" uniqueName="1">
      <xmlPr mapId="43" xpath="/ns1:Root/ns1:Prog/ns1:Achieved__P8_6" xmlDataType="string"/>
    </xmlCellPr>
  </singleXmlCell>
  <singleXmlCell id="706" xr6:uid="{00000000-000C-0000-FFFF-FFFFDA000000}" r="P128" connectionId="0">
    <xmlCellPr id="1" xr6:uid="{00000000-0010-0000-DA00-000001000000}" uniqueName="1">
      <xmlPr mapId="43" xpath="/ns1:Root/ns1:Prog/ns1:Achieved__P9_6" xmlDataType="string"/>
    </xmlCellPr>
  </singleXmlCell>
  <singleXmlCell id="707" xr6:uid="{00000000-000C-0000-FFFF-FFFFDB000000}" r="Q128" connectionId="0">
    <xmlCellPr id="1" xr6:uid="{00000000-0010-0000-DB00-000001000000}" uniqueName="1">
      <xmlPr mapId="43" xpath="/ns1:Root/ns1:Prog/ns1:Achieved__P10_6" xmlDataType="string"/>
    </xmlCellPr>
  </singleXmlCell>
  <singleXmlCell id="708" xr6:uid="{00000000-000C-0000-FFFF-FFFFDC000000}" r="R128" connectionId="0">
    <xmlCellPr id="1" xr6:uid="{00000000-0010-0000-DC00-000001000000}" uniqueName="1">
      <xmlPr mapId="43" xpath="/ns1:Root/ns1:Prog/ns1:Achieved__P11_6" xmlDataType="string"/>
    </xmlCellPr>
  </singleXmlCell>
  <singleXmlCell id="709" xr6:uid="{00000000-000C-0000-FFFF-FFFFDD000000}" r="S128" connectionId="0">
    <xmlCellPr id="1" xr6:uid="{00000000-0010-0000-DD00-000001000000}" uniqueName="1">
      <xmlPr mapId="43" xpath="/ns1:Root/ns1:Prog/ns1:Achieved__P12_6" xmlDataType="string"/>
    </xmlCellPr>
  </singleXmlCell>
  <singleXmlCell id="808" xr6:uid="{00000000-000C-0000-FFFF-FFFFDE000000}" r="E119" connectionId="0">
    <xmlCellPr id="1" xr6:uid="{00000000-0010-0000-DE00-000001000000}" uniqueName="1">
      <xmlPr mapId="43" xpath="/ns1:Root/ns1:P1_Code" xmlDataType="double"/>
    </xmlCellPr>
  </singleXmlCell>
  <singleXmlCell id="810" xr6:uid="{00000000-000C-0000-FFFF-FFFFDF000000}" r="B121" connectionId="0">
    <xmlCellPr id="1" xr6:uid="{00000000-0010-0000-DF00-000001000000}" uniqueName="1">
      <xmlPr mapId="43" xpath="/ns1:Root/ns1:P2" xmlDataType="string"/>
    </xmlCellPr>
  </singleXmlCell>
  <singleXmlCell id="811" xr6:uid="{00000000-000C-0000-FFFF-FFFFE0000000}" r="E121" connectionId="0">
    <xmlCellPr id="1" xr6:uid="{00000000-0010-0000-E000-000001000000}" uniqueName="1">
      <xmlPr mapId="43" xpath="/ns1:Root/ns1:P2_Code" xmlDataType="double"/>
    </xmlCellPr>
  </singleXmlCell>
  <singleXmlCell id="812" xr6:uid="{00000000-000C-0000-FFFF-FFFFE1000000}" r="F121" connectionId="0">
    <xmlCellPr id="1" xr6:uid="{00000000-0010-0000-E100-000001000000}" uniqueName="1">
      <xmlPr mapId="43" xpath="/ns1:Root/ns1:P2_Tied" xmlDataType="string"/>
    </xmlCellPr>
  </singleXmlCell>
  <singleXmlCell id="819" xr6:uid="{00000000-000C-0000-FFFF-FFFFE2000000}" r="B125" connectionId="0">
    <xmlCellPr id="1" xr6:uid="{00000000-0010-0000-E200-000001000000}" uniqueName="1">
      <xmlPr mapId="43" xpath="/ns1:Root/ns1:P5" xmlDataType="string"/>
    </xmlCellPr>
  </singleXmlCell>
  <singleXmlCell id="820" xr6:uid="{00000000-000C-0000-FFFF-FFFFE3000000}" r="E125" connectionId="0">
    <xmlCellPr id="1" xr6:uid="{00000000-0010-0000-E300-000001000000}" uniqueName="1">
      <xmlPr mapId="43" xpath="/ns1:Root/ns1:P5_Code" xmlDataType="double"/>
    </xmlCellPr>
  </singleXmlCell>
  <singleXmlCell id="821" xr6:uid="{00000000-000C-0000-FFFF-FFFFE4000000}" r="F125" connectionId="0">
    <xmlCellPr id="1" xr6:uid="{00000000-0010-0000-E400-000001000000}" uniqueName="1">
      <xmlPr mapId="43" xpath="/ns1:Root/ns1:P5_Tied" xmlDataType="string"/>
    </xmlCellPr>
  </singleXmlCell>
  <singleXmlCell id="822" xr6:uid="{00000000-000C-0000-FFFF-FFFFE5000000}" r="B127" connectionId="0">
    <xmlCellPr id="1" xr6:uid="{00000000-0010-0000-E500-000001000000}" uniqueName="1">
      <xmlPr mapId="43" xpath="/ns1:Root/ns1:P6" xmlDataType="string"/>
    </xmlCellPr>
  </singleXmlCell>
  <singleXmlCell id="823" xr6:uid="{00000000-000C-0000-FFFF-FFFFE6000000}" r="E127" connectionId="0">
    <xmlCellPr id="1" xr6:uid="{00000000-0010-0000-E600-000001000000}" uniqueName="1">
      <xmlPr mapId="43" xpath="/ns1:Root/ns1:P6_Code" xmlDataType="double"/>
    </xmlCellPr>
  </singleXmlCell>
  <singleXmlCell id="824" xr6:uid="{00000000-000C-0000-FFFF-FFFFE7000000}" r="F127"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3" connectionId="0">
    <xmlCellPr id="1" xr6:uid="{00000000-0010-0000-E900-000001000000}" uniqueName="1">
      <xmlPr mapId="43" xpath="/ns1:Root/ns1:P8_Tied" xmlDataType="string"/>
    </xmlCellPr>
  </singleXmlCell>
  <singleXmlCell id="829" xr6:uid="{00000000-000C-0000-FFFF-FFFFEA000000}" r="E133" connectionId="0">
    <xmlCellPr id="1" xr6:uid="{00000000-0010-0000-EA00-000001000000}" uniqueName="1">
      <xmlPr mapId="43" xpath="/ns1:Root/ns1:P8_Code" xmlDataType="double"/>
    </xmlCellPr>
  </singleXmlCell>
  <singleXmlCell id="828" xr6:uid="{00000000-000C-0000-FFFF-FFFFEB000000}" r="B133" connectionId="0">
    <xmlCellPr id="1" xr6:uid="{00000000-0010-0000-EB00-000001000000}" uniqueName="1">
      <xmlPr mapId="43" xpath="/ns1:Root/ns1:P8" xmlDataType="string"/>
    </xmlCellPr>
  </singleXmlCell>
  <singleXmlCell id="827" xr6:uid="{00000000-000C-0000-FFFF-FFFFEC000000}" r="F129" connectionId="0">
    <xmlCellPr id="1" xr6:uid="{00000000-0010-0000-EC00-000001000000}" uniqueName="1">
      <xmlPr mapId="43" xpath="/ns1:Root/ns1:P7_Tied" xmlDataType="string"/>
    </xmlCellPr>
  </singleXmlCell>
  <singleXmlCell id="826" xr6:uid="{00000000-000C-0000-FFFF-FFFFED000000}" r="E129" connectionId="0">
    <xmlCellPr id="1" xr6:uid="{00000000-0010-0000-ED00-000001000000}" uniqueName="1">
      <xmlPr mapId="43" xpath="/ns1:Root/ns1:P7_Code" xmlDataType="double"/>
    </xmlCellPr>
  </singleXmlCell>
  <singleXmlCell id="825" xr6:uid="{00000000-000C-0000-FFFF-FFFFEE000000}" r="B129" connectionId="0">
    <xmlCellPr id="1" xr6:uid="{00000000-0010-0000-EE00-000001000000}" uniqueName="1">
      <xmlPr mapId="43" xpath="/ns1:Root/ns1:P7" xmlDataType="string"/>
    </xmlCellPr>
  </singleXmlCell>
  <singleXmlCell id="757" xr6:uid="{00000000-000C-0000-FFFF-FFFFEF000000}" r="S134" connectionId="0">
    <xmlCellPr id="1" xr6:uid="{00000000-0010-0000-EF00-000001000000}" uniqueName="1">
      <xmlPr mapId="43" xpath="/ns1:Root/ns1:Prog/ns1:Achieved__P12_8" xmlDataType="string"/>
    </xmlCellPr>
  </singleXmlCell>
  <singleXmlCell id="756" xr6:uid="{00000000-000C-0000-FFFF-FFFFF0000000}" r="R134" connectionId="0">
    <xmlCellPr id="1" xr6:uid="{00000000-0010-0000-F000-000001000000}" uniqueName="1">
      <xmlPr mapId="43" xpath="/ns1:Root/ns1:Prog/ns1:Achieved__P11_8" xmlDataType="string"/>
    </xmlCellPr>
  </singleXmlCell>
  <singleXmlCell id="755" xr6:uid="{00000000-000C-0000-FFFF-FFFFF1000000}" r="Q134" connectionId="0">
    <xmlCellPr id="1" xr6:uid="{00000000-0010-0000-F100-000001000000}" uniqueName="1">
      <xmlPr mapId="43" xpath="/ns1:Root/ns1:Prog/ns1:Achieved__P10_8" xmlDataType="string"/>
    </xmlCellPr>
  </singleXmlCell>
  <singleXmlCell id="754" xr6:uid="{00000000-000C-0000-FFFF-FFFFF2000000}" r="P134" connectionId="0">
    <xmlCellPr id="1" xr6:uid="{00000000-0010-0000-F200-000001000000}" uniqueName="1">
      <xmlPr mapId="43" xpath="/ns1:Root/ns1:Prog/ns1:Achieved__P9_8" xmlDataType="string"/>
    </xmlCellPr>
  </singleXmlCell>
  <singleXmlCell id="753" xr6:uid="{00000000-000C-0000-FFFF-FFFFF3000000}" r="O134" connectionId="0">
    <xmlCellPr id="1" xr6:uid="{00000000-0010-0000-F300-000001000000}" uniqueName="1">
      <xmlPr mapId="43" xpath="/ns1:Root/ns1:Prog/ns1:Achieved__P8_8" xmlDataType="string"/>
    </xmlCellPr>
  </singleXmlCell>
  <singleXmlCell id="752" xr6:uid="{00000000-000C-0000-FFFF-FFFFF4000000}" r="N134" connectionId="0">
    <xmlCellPr id="1" xr6:uid="{00000000-0010-0000-F400-000001000000}" uniqueName="1">
      <xmlPr mapId="43" xpath="/ns1:Root/ns1:Prog/ns1:Achieved__P7_8" xmlDataType="string"/>
    </xmlCellPr>
  </singleXmlCell>
  <singleXmlCell id="751" xr6:uid="{00000000-000C-0000-FFFF-FFFFF5000000}" r="M134" connectionId="0">
    <xmlCellPr id="1" xr6:uid="{00000000-0010-0000-F500-000001000000}" uniqueName="1">
      <xmlPr mapId="43" xpath="/ns1:Root/ns1:Prog/ns1:Achieved__P6_8" xmlDataType="string"/>
    </xmlCellPr>
  </singleXmlCell>
  <singleXmlCell id="750" xr6:uid="{00000000-000C-0000-FFFF-FFFFF6000000}" r="L134" connectionId="0">
    <xmlCellPr id="1" xr6:uid="{00000000-0010-0000-F600-000001000000}" uniqueName="1">
      <xmlPr mapId="43" xpath="/ns1:Root/ns1:Prog/ns1:Achieved__P5_8" xmlDataType="string"/>
    </xmlCellPr>
  </singleXmlCell>
  <singleXmlCell id="749" xr6:uid="{00000000-000C-0000-FFFF-FFFFF7000000}" r="K134" connectionId="0">
    <xmlCellPr id="1" xr6:uid="{00000000-0010-0000-F700-000001000000}" uniqueName="1">
      <xmlPr mapId="43" xpath="/ns1:Root/ns1:Prog/ns1:Achieved__P4_8" xmlDataType="string"/>
    </xmlCellPr>
  </singleXmlCell>
  <singleXmlCell id="748" xr6:uid="{00000000-000C-0000-FFFF-FFFFF8000000}" r="J134" connectionId="0">
    <xmlCellPr id="1" xr6:uid="{00000000-0010-0000-F800-000001000000}" uniqueName="1">
      <xmlPr mapId="43" xpath="/ns1:Root/ns1:Prog/ns1:Achieved__P3_8" xmlDataType="string"/>
    </xmlCellPr>
  </singleXmlCell>
  <singleXmlCell id="747" xr6:uid="{00000000-000C-0000-FFFF-FFFFF9000000}" r="I134" connectionId="0">
    <xmlCellPr id="1" xr6:uid="{00000000-0010-0000-F900-000001000000}" uniqueName="1">
      <xmlPr mapId="43" xpath="/ns1:Root/ns1:Prog/ns1:Achieved__P2_8" xmlDataType="string"/>
    </xmlCellPr>
  </singleXmlCell>
  <singleXmlCell id="746" xr6:uid="{00000000-000C-0000-FFFF-FFFFFA000000}" r="H134" connectionId="0">
    <xmlCellPr id="1" xr6:uid="{00000000-0010-0000-FA00-000001000000}" uniqueName="1">
      <xmlPr mapId="43" xpath="/ns1:Root/ns1:Prog/ns1:Achieved__P1_8" xmlDataType="string"/>
    </xmlCellPr>
  </singleXmlCell>
  <singleXmlCell id="745" xr6:uid="{00000000-000C-0000-FFFF-FFFFFB000000}" r="S133" connectionId="0">
    <xmlCellPr id="1" xr6:uid="{00000000-0010-0000-FB00-000001000000}" uniqueName="1">
      <xmlPr mapId="43" xpath="/ns1:Root/ns1:Prog/ns1:Target_P12_8" xmlDataType="double"/>
    </xmlCellPr>
  </singleXmlCell>
  <singleXmlCell id="744" xr6:uid="{00000000-000C-0000-FFFF-FFFFFC000000}" r="R133" connectionId="0">
    <xmlCellPr id="1" xr6:uid="{00000000-0010-0000-FC00-000001000000}" uniqueName="1">
      <xmlPr mapId="43" xpath="/ns1:Root/ns1:Prog/ns1:Target_P11_8" xmlDataType="double"/>
    </xmlCellPr>
  </singleXmlCell>
  <singleXmlCell id="743" xr6:uid="{00000000-000C-0000-FFFF-FFFFFD000000}" r="Q133" connectionId="0">
    <xmlCellPr id="1" xr6:uid="{00000000-0010-0000-FD00-000001000000}" uniqueName="1">
      <xmlPr mapId="43" xpath="/ns1:Root/ns1:Prog/ns1:Target_P10_8" xmlDataType="double"/>
    </xmlCellPr>
  </singleXmlCell>
  <singleXmlCell id="742" xr6:uid="{00000000-000C-0000-FFFF-FFFFFE000000}" r="P133" connectionId="0">
    <xmlCellPr id="1" xr6:uid="{00000000-0010-0000-FE00-000001000000}" uniqueName="1">
      <xmlPr mapId="43" xpath="/ns1:Root/ns1:Prog/ns1:Target_P9_8" xmlDataType="double"/>
    </xmlCellPr>
  </singleXmlCell>
  <singleXmlCell id="741" xr6:uid="{00000000-000C-0000-FFFF-FFFFFF000000}" r="O133" connectionId="0">
    <xmlCellPr id="1" xr6:uid="{00000000-0010-0000-FF00-000001000000}" uniqueName="1">
      <xmlPr mapId="43" xpath="/ns1:Root/ns1:Prog/ns1:Target_P8_8" xmlDataType="double"/>
    </xmlCellPr>
  </singleXmlCell>
  <singleXmlCell id="740" xr6:uid="{00000000-000C-0000-FFFF-FFFF00010000}" r="N133" connectionId="0">
    <xmlCellPr id="1" xr6:uid="{00000000-0010-0000-0001-000001000000}" uniqueName="1">
      <xmlPr mapId="43" xpath="/ns1:Root/ns1:Prog/ns1:Target_P7_8" xmlDataType="string"/>
    </xmlCellPr>
  </singleXmlCell>
  <singleXmlCell id="739" xr6:uid="{00000000-000C-0000-FFFF-FFFF01010000}" r="M133" connectionId="0">
    <xmlCellPr id="1" xr6:uid="{00000000-0010-0000-0101-000001000000}" uniqueName="1">
      <xmlPr mapId="43" xpath="/ns1:Root/ns1:Prog/ns1:Target_P6_8" xmlDataType="double"/>
    </xmlCellPr>
  </singleXmlCell>
  <singleXmlCell id="738" xr6:uid="{00000000-000C-0000-FFFF-FFFF02010000}" r="L133" connectionId="0">
    <xmlCellPr id="1" xr6:uid="{00000000-0010-0000-0201-000001000000}" uniqueName="1">
      <xmlPr mapId="43" xpath="/ns1:Root/ns1:Prog/ns1:Target_P5_8" xmlDataType="string"/>
    </xmlCellPr>
  </singleXmlCell>
  <singleXmlCell id="737" xr6:uid="{00000000-000C-0000-FFFF-FFFF03010000}" r="K133" connectionId="0">
    <xmlCellPr id="1" xr6:uid="{00000000-0010-0000-0301-000001000000}" uniqueName="1">
      <xmlPr mapId="43" xpath="/ns1:Root/ns1:Prog/ns1:Target_P4_8" xmlDataType="double"/>
    </xmlCellPr>
  </singleXmlCell>
  <singleXmlCell id="736" xr6:uid="{00000000-000C-0000-FFFF-FFFF04010000}" r="J133" connectionId="0">
    <xmlCellPr id="1" xr6:uid="{00000000-0010-0000-0401-000001000000}" uniqueName="1">
      <xmlPr mapId="43" xpath="/ns1:Root/ns1:Prog/ns1:Target_P3_8" xmlDataType="string"/>
    </xmlCellPr>
  </singleXmlCell>
  <singleXmlCell id="735" xr6:uid="{00000000-000C-0000-FFFF-FFFF05010000}" r="I133" connectionId="0">
    <xmlCellPr id="1" xr6:uid="{00000000-0010-0000-0501-000001000000}" uniqueName="1">
      <xmlPr mapId="43" xpath="/ns1:Root/ns1:Prog/ns1:Target_P2_8" xmlDataType="double"/>
    </xmlCellPr>
  </singleXmlCell>
  <singleXmlCell id="734" xr6:uid="{00000000-000C-0000-FFFF-FFFF06010000}" r="H133" connectionId="0">
    <xmlCellPr id="1" xr6:uid="{00000000-0010-0000-0601-000001000000}" uniqueName="1">
      <xmlPr mapId="43" xpath="/ns1:Root/ns1:Prog/ns1:Target_P1_8" xmlDataType="string"/>
    </xmlCellPr>
  </singleXmlCell>
  <singleXmlCell id="733" xr6:uid="{00000000-000C-0000-FFFF-FFFF07010000}" r="S130" connectionId="0">
    <xmlCellPr id="1" xr6:uid="{00000000-0010-0000-0701-000001000000}" uniqueName="1">
      <xmlPr mapId="43" xpath="/ns1:Root/ns1:Prog/ns1:Achieved__P12_7" xmlDataType="string"/>
    </xmlCellPr>
  </singleXmlCell>
  <singleXmlCell id="732" xr6:uid="{00000000-000C-0000-FFFF-FFFF08010000}" r="R130" connectionId="0">
    <xmlCellPr id="1" xr6:uid="{00000000-0010-0000-0801-000001000000}" uniqueName="1">
      <xmlPr mapId="43" xpath="/ns1:Root/ns1:Prog/ns1:Achieved__P11_7" xmlDataType="string"/>
    </xmlCellPr>
  </singleXmlCell>
  <singleXmlCell id="731" xr6:uid="{00000000-000C-0000-FFFF-FFFF09010000}" r="Q130" connectionId="0">
    <xmlCellPr id="1" xr6:uid="{00000000-0010-0000-0901-000001000000}" uniqueName="1">
      <xmlPr mapId="43" xpath="/ns1:Root/ns1:Prog/ns1:Achieved__P10_7" xmlDataType="string"/>
    </xmlCellPr>
  </singleXmlCell>
  <singleXmlCell id="730" xr6:uid="{00000000-000C-0000-FFFF-FFFF0A010000}" r="P130" connectionId="0">
    <xmlCellPr id="1" xr6:uid="{00000000-0010-0000-0A01-000001000000}" uniqueName="1">
      <xmlPr mapId="43" xpath="/ns1:Root/ns1:Prog/ns1:Achieved__P9_7" xmlDataType="string"/>
    </xmlCellPr>
  </singleXmlCell>
  <singleXmlCell id="729" xr6:uid="{00000000-000C-0000-FFFF-FFFF0B010000}" r="O130" connectionId="0">
    <xmlCellPr id="1" xr6:uid="{00000000-0010-0000-0B01-000001000000}" uniqueName="1">
      <xmlPr mapId="43" xpath="/ns1:Root/ns1:Prog/ns1:Achieved__P8_7" xmlDataType="string"/>
    </xmlCellPr>
  </singleXmlCell>
  <singleXmlCell id="728" xr6:uid="{00000000-000C-0000-FFFF-FFFF0C010000}" r="N130" connectionId="0">
    <xmlCellPr id="1" xr6:uid="{00000000-0010-0000-0C01-000001000000}" uniqueName="1">
      <xmlPr mapId="43" xpath="/ns1:Root/ns1:Prog/ns1:Achieved__P7_7" xmlDataType="string"/>
    </xmlCellPr>
  </singleXmlCell>
  <singleXmlCell id="727" xr6:uid="{00000000-000C-0000-FFFF-FFFF0D010000}" r="M130" connectionId="0">
    <xmlCellPr id="1" xr6:uid="{00000000-0010-0000-0D01-000001000000}" uniqueName="1">
      <xmlPr mapId="43" xpath="/ns1:Root/ns1:Prog/ns1:Achieved__P6_7" xmlDataType="string"/>
    </xmlCellPr>
  </singleXmlCell>
  <singleXmlCell id="726" xr6:uid="{00000000-000C-0000-FFFF-FFFF0E010000}" r="L130" connectionId="0">
    <xmlCellPr id="1" xr6:uid="{00000000-0010-0000-0E01-000001000000}" uniqueName="1">
      <xmlPr mapId="43" xpath="/ns1:Root/ns1:Prog/ns1:Achieved__P5_7" xmlDataType="string"/>
    </xmlCellPr>
  </singleXmlCell>
  <singleXmlCell id="725" xr6:uid="{00000000-000C-0000-FFFF-FFFF0F010000}" r="K130" connectionId="0">
    <xmlCellPr id="1" xr6:uid="{00000000-0010-0000-0F01-000001000000}" uniqueName="1">
      <xmlPr mapId="43" xpath="/ns1:Root/ns1:Prog/ns1:Achieved__P4_7" xmlDataType="double"/>
    </xmlCellPr>
  </singleXmlCell>
  <singleXmlCell id="724" xr6:uid="{00000000-000C-0000-FFFF-FFFF10010000}" r="J130" connectionId="0">
    <xmlCellPr id="1" xr6:uid="{00000000-0010-0000-1001-000001000000}" uniqueName="1">
      <xmlPr mapId="43" xpath="/ns1:Root/ns1:Prog/ns1:Achieved__P3_7" xmlDataType="double"/>
    </xmlCellPr>
  </singleXmlCell>
  <singleXmlCell id="723" xr6:uid="{00000000-000C-0000-FFFF-FFFF11010000}" r="I130" connectionId="0">
    <xmlCellPr id="1" xr6:uid="{00000000-0010-0000-1101-000001000000}" uniqueName="1">
      <xmlPr mapId="43" xpath="/ns1:Root/ns1:Prog/ns1:Achieved__P2_7" xmlDataType="double"/>
    </xmlCellPr>
  </singleXmlCell>
  <singleXmlCell id="722" xr6:uid="{00000000-000C-0000-FFFF-FFFF12010000}" r="H130" connectionId="0">
    <xmlCellPr id="1" xr6:uid="{00000000-0010-0000-1201-000001000000}" uniqueName="1">
      <xmlPr mapId="43" xpath="/ns1:Root/ns1:Prog/ns1:Achieved__P1_7" xmlDataType="double"/>
    </xmlCellPr>
  </singleXmlCell>
  <singleXmlCell id="721" xr6:uid="{00000000-000C-0000-FFFF-FFFF13010000}" r="S129" connectionId="0">
    <xmlCellPr id="1" xr6:uid="{00000000-0010-0000-1301-000001000000}" uniqueName="1">
      <xmlPr mapId="43" xpath="/ns1:Root/ns1:Prog/ns1:Target_P12_7" xmlDataType="double"/>
    </xmlCellPr>
  </singleXmlCell>
  <singleXmlCell id="720" xr6:uid="{00000000-000C-0000-FFFF-FFFF14010000}" r="R129" connectionId="0">
    <xmlCellPr id="1" xr6:uid="{00000000-0010-0000-1401-000001000000}" uniqueName="1">
      <xmlPr mapId="43" xpath="/ns1:Root/ns1:Prog/ns1:Target_P11_7" xmlDataType="double"/>
    </xmlCellPr>
  </singleXmlCell>
  <singleXmlCell id="719" xr6:uid="{00000000-000C-0000-FFFF-FFFF15010000}" r="Q129" connectionId="0">
    <xmlCellPr id="1" xr6:uid="{00000000-0010-0000-1501-000001000000}" uniqueName="1">
      <xmlPr mapId="43" xpath="/ns1:Root/ns1:Prog/ns1:Target_P10_7" xmlDataType="double"/>
    </xmlCellPr>
  </singleXmlCell>
  <singleXmlCell id="718" xr6:uid="{00000000-000C-0000-FFFF-FFFF16010000}" r="P129" connectionId="0">
    <xmlCellPr id="1" xr6:uid="{00000000-0010-0000-1601-000001000000}" uniqueName="1">
      <xmlPr mapId="43" xpath="/ns1:Root/ns1:Prog/ns1:Target_P9_7" xmlDataType="double"/>
    </xmlCellPr>
  </singleXmlCell>
  <singleXmlCell id="717" xr6:uid="{00000000-000C-0000-FFFF-FFFF17010000}" r="O129" connectionId="0">
    <xmlCellPr id="1" xr6:uid="{00000000-0010-0000-1701-000001000000}" uniqueName="1">
      <xmlPr mapId="43" xpath="/ns1:Root/ns1:Prog/ns1:Target_P8_7" xmlDataType="double"/>
    </xmlCellPr>
  </singleXmlCell>
  <singleXmlCell id="716" xr6:uid="{00000000-000C-0000-FFFF-FFFF18010000}" r="N129" connectionId="0">
    <xmlCellPr id="1" xr6:uid="{00000000-0010-0000-1801-000001000000}" uniqueName="1">
      <xmlPr mapId="43" xpath="/ns1:Root/ns1:Prog/ns1:Target_P7_7" xmlDataType="double"/>
    </xmlCellPr>
  </singleXmlCell>
  <singleXmlCell id="715" xr6:uid="{00000000-000C-0000-FFFF-FFFF19010000}" r="M129" connectionId="0">
    <xmlCellPr id="1" xr6:uid="{00000000-0010-0000-1901-000001000000}" uniqueName="1">
      <xmlPr mapId="43" xpath="/ns1:Root/ns1:Prog/ns1:Target_P6_7" xmlDataType="double"/>
    </xmlCellPr>
  </singleXmlCell>
  <singleXmlCell id="714" xr6:uid="{00000000-000C-0000-FFFF-FFFF1A010000}" r="L129" connectionId="0">
    <xmlCellPr id="1" xr6:uid="{00000000-0010-0000-1A01-000001000000}" uniqueName="1">
      <xmlPr mapId="43" xpath="/ns1:Root/ns1:Prog/ns1:Target_P5_7" xmlDataType="double"/>
    </xmlCellPr>
  </singleXmlCell>
  <singleXmlCell id="713" xr6:uid="{00000000-000C-0000-FFFF-FFFF1B010000}" r="K129" connectionId="0">
    <xmlCellPr id="1" xr6:uid="{00000000-0010-0000-1B01-000001000000}" uniqueName="1">
      <xmlPr mapId="43" xpath="/ns1:Root/ns1:Prog/ns1:Target_P4_7" xmlDataType="double"/>
    </xmlCellPr>
  </singleXmlCell>
  <singleXmlCell id="712" xr6:uid="{00000000-000C-0000-FFFF-FFFF1C010000}" r="J129" connectionId="0">
    <xmlCellPr id="1" xr6:uid="{00000000-0010-0000-1C01-000001000000}" uniqueName="1">
      <xmlPr mapId="43" xpath="/ns1:Root/ns1:Prog/ns1:Target_P3_7" xmlDataType="double"/>
    </xmlCellPr>
  </singleXmlCell>
  <singleXmlCell id="711" xr6:uid="{00000000-000C-0000-FFFF-FFFF1D010000}" r="I129" connectionId="0">
    <xmlCellPr id="1" xr6:uid="{00000000-0010-0000-1D01-000001000000}" uniqueName="1">
      <xmlPr mapId="43" xpath="/ns1:Root/ns1:Prog/ns1:Target_P2_7" xmlDataType="double"/>
    </xmlCellPr>
  </singleXmlCell>
  <singleXmlCell id="710" xr6:uid="{00000000-000C-0000-FFFF-FFFF1E010000}" r="H129" connectionId="0">
    <xmlCellPr id="1" xr6:uid="{00000000-0010-0000-1E01-000001000000}" uniqueName="1">
      <xmlPr mapId="43" xpath="/ns1:Root/ns1:Prog/ns1:Target_P1_7" xmlDataType="double"/>
    </xmlCellPr>
  </singleXmlCell>
  <singleXmlCell id="815" xr6:uid="{00000000-000C-0000-FFFF-FFFF1F010000}" r="F123" connectionId="0">
    <xmlCellPr id="1" xr6:uid="{00000000-0010-0000-1F01-000001000000}" uniqueName="1">
      <xmlPr mapId="43" xpath="/ns1:Root/ns1:P3_Tied" xmlDataType="string"/>
    </xmlCellPr>
  </singleXmlCell>
  <singleXmlCell id="814" xr6:uid="{00000000-000C-0000-FFFF-FFFF20010000}" r="E123" connectionId="0">
    <xmlCellPr id="1" xr6:uid="{00000000-0010-0000-2001-000001000000}" uniqueName="1">
      <xmlPr mapId="43" xpath="/ns1:Root/ns1:P3_Code" xmlDataType="double"/>
    </xmlCellPr>
  </singleXmlCell>
  <singleXmlCell id="813" xr6:uid="{00000000-000C-0000-FFFF-FFFF21010000}" r="B123" connectionId="0">
    <xmlCellPr id="1" xr6:uid="{00000000-0010-0000-2101-000001000000}" uniqueName="1">
      <xmlPr mapId="43" xpath="/ns1:Root/ns1:P3" xmlDataType="string"/>
    </xmlCellPr>
  </singleXmlCell>
  <singleXmlCell id="637" xr6:uid="{00000000-000C-0000-FFFF-FFFF22010000}" r="S124" connectionId="0">
    <xmlCellPr id="1" xr6:uid="{00000000-0010-0000-2201-000001000000}" uniqueName="1">
      <xmlPr mapId="43" xpath="/ns1:Root/ns1:Prog/ns1:Achieved__P12_3" xmlDataType="string"/>
    </xmlCellPr>
  </singleXmlCell>
  <singleXmlCell id="636" xr6:uid="{00000000-000C-0000-FFFF-FFFF23010000}" r="R124" connectionId="0">
    <xmlCellPr id="1" xr6:uid="{00000000-0010-0000-2301-000001000000}" uniqueName="1">
      <xmlPr mapId="43" xpath="/ns1:Root/ns1:Prog/ns1:Achieved__P11_3" xmlDataType="string"/>
    </xmlCellPr>
  </singleXmlCell>
  <singleXmlCell id="635" xr6:uid="{00000000-000C-0000-FFFF-FFFF24010000}" r="Q124" connectionId="0">
    <xmlCellPr id="1" xr6:uid="{00000000-0010-0000-2401-000001000000}" uniqueName="1">
      <xmlPr mapId="43" xpath="/ns1:Root/ns1:Prog/ns1:Achieved__P10_3" xmlDataType="string"/>
    </xmlCellPr>
  </singleXmlCell>
  <singleXmlCell id="634" xr6:uid="{00000000-000C-0000-FFFF-FFFF25010000}" r="P124" connectionId="0">
    <xmlCellPr id="1" xr6:uid="{00000000-0010-0000-2501-000001000000}" uniqueName="1">
      <xmlPr mapId="43" xpath="/ns1:Root/ns1:Prog/ns1:Achieved__P9_3" xmlDataType="string"/>
    </xmlCellPr>
  </singleXmlCell>
  <singleXmlCell id="633" xr6:uid="{00000000-000C-0000-FFFF-FFFF26010000}" r="O124" connectionId="0">
    <xmlCellPr id="1" xr6:uid="{00000000-0010-0000-2601-000001000000}" uniqueName="1">
      <xmlPr mapId="43" xpath="/ns1:Root/ns1:Prog/ns1:Achieved__P8_3" xmlDataType="string"/>
    </xmlCellPr>
  </singleXmlCell>
  <singleXmlCell id="632" xr6:uid="{00000000-000C-0000-FFFF-FFFF27010000}" r="N124" connectionId="0">
    <xmlCellPr id="1" xr6:uid="{00000000-0010-0000-2701-000001000000}" uniqueName="1">
      <xmlPr mapId="43" xpath="/ns1:Root/ns1:Prog/ns1:Achieved__P7_3" xmlDataType="string"/>
    </xmlCellPr>
  </singleXmlCell>
  <singleXmlCell id="631" xr6:uid="{00000000-000C-0000-FFFF-FFFF28010000}" r="M124" connectionId="0">
    <xmlCellPr id="1" xr6:uid="{00000000-0010-0000-2801-000001000000}" uniqueName="1">
      <xmlPr mapId="43" xpath="/ns1:Root/ns1:Prog/ns1:Achieved__P6_3" xmlDataType="string"/>
    </xmlCellPr>
  </singleXmlCell>
  <singleXmlCell id="630" xr6:uid="{00000000-000C-0000-FFFF-FFFF29010000}" r="L124" connectionId="0">
    <xmlCellPr id="1" xr6:uid="{00000000-0010-0000-2901-000001000000}" uniqueName="1">
      <xmlPr mapId="43" xpath="/ns1:Root/ns1:Prog/ns1:Achieved__P5_3" xmlDataType="string"/>
    </xmlCellPr>
  </singleXmlCell>
  <singleXmlCell id="629" xr6:uid="{00000000-000C-0000-FFFF-FFFF2A010000}" r="K124" connectionId="0">
    <xmlCellPr id="1" xr6:uid="{00000000-0010-0000-2A01-000001000000}" uniqueName="1">
      <xmlPr mapId="43" xpath="/ns1:Root/ns1:Prog/ns1:Achieved__P4_3" xmlDataType="double"/>
    </xmlCellPr>
  </singleXmlCell>
  <singleXmlCell id="628" xr6:uid="{00000000-000C-0000-FFFF-FFFF2B010000}" r="J124" connectionId="0">
    <xmlCellPr id="1" xr6:uid="{00000000-0010-0000-2B01-000001000000}" uniqueName="1">
      <xmlPr mapId="43" xpath="/ns1:Root/ns1:Prog/ns1:Achieved__P3_3" xmlDataType="string"/>
    </xmlCellPr>
  </singleXmlCell>
  <singleXmlCell id="627" xr6:uid="{00000000-000C-0000-FFFF-FFFF2C010000}" r="I124" connectionId="0">
    <xmlCellPr id="1" xr6:uid="{00000000-0010-0000-2C01-000001000000}" uniqueName="1">
      <xmlPr mapId="43" xpath="/ns1:Root/ns1:Prog/ns1:Achieved__P2_3" xmlDataType="double"/>
    </xmlCellPr>
  </singleXmlCell>
  <singleXmlCell id="626" xr6:uid="{00000000-000C-0000-FFFF-FFFF2D010000}" r="H124" connectionId="0">
    <xmlCellPr id="1" xr6:uid="{00000000-0010-0000-2D01-000001000000}" uniqueName="1">
      <xmlPr mapId="43" xpath="/ns1:Root/ns1:Prog/ns1:Achieved__P1_3" xmlDataType="string"/>
    </xmlCellPr>
  </singleXmlCell>
  <singleXmlCell id="625" xr6:uid="{00000000-000C-0000-FFFF-FFFF2E010000}" r="S123" connectionId="0">
    <xmlCellPr id="1" xr6:uid="{00000000-0010-0000-2E01-000001000000}" uniqueName="1">
      <xmlPr mapId="43" xpath="/ns1:Root/ns1:Prog/ns1:Target_P12_3" xmlDataType="double"/>
    </xmlCellPr>
  </singleXmlCell>
  <singleXmlCell id="624" xr6:uid="{00000000-000C-0000-FFFF-FFFF2F010000}" r="R123" connectionId="0">
    <xmlCellPr id="1" xr6:uid="{00000000-0010-0000-2F01-000001000000}" uniqueName="1">
      <xmlPr mapId="43" xpath="/ns1:Root/ns1:Prog/ns1:Target_P11_3" xmlDataType="string"/>
    </xmlCellPr>
  </singleXmlCell>
  <singleXmlCell id="623" xr6:uid="{00000000-000C-0000-FFFF-FFFF30010000}" r="Q123" connectionId="0">
    <xmlCellPr id="1" xr6:uid="{00000000-0010-0000-3001-000001000000}" uniqueName="1">
      <xmlPr mapId="43" xpath="/ns1:Root/ns1:Prog/ns1:Target_P10_3" xmlDataType="string"/>
    </xmlCellPr>
  </singleXmlCell>
  <singleXmlCell id="622" xr6:uid="{00000000-000C-0000-FFFF-FFFF31010000}" r="P123" connectionId="0">
    <xmlCellPr id="1" xr6:uid="{00000000-0010-0000-3101-000001000000}" uniqueName="1">
      <xmlPr mapId="43" xpath="/ns1:Root/ns1:Prog/ns1:Target_P9_3" xmlDataType="double"/>
    </xmlCellPr>
  </singleXmlCell>
  <singleXmlCell id="621" xr6:uid="{00000000-000C-0000-FFFF-FFFF32010000}" r="O123" connectionId="0">
    <xmlCellPr id="1" xr6:uid="{00000000-0010-0000-3201-000001000000}" uniqueName="1">
      <xmlPr mapId="43" xpath="/ns1:Root/ns1:Prog/ns1:Target_P8_3" xmlDataType="double"/>
    </xmlCellPr>
  </singleXmlCell>
  <singleXmlCell id="620" xr6:uid="{00000000-000C-0000-FFFF-FFFF33010000}" r="N123" connectionId="0">
    <xmlCellPr id="1" xr6:uid="{00000000-0010-0000-3301-000001000000}" uniqueName="1">
      <xmlPr mapId="43" xpath="/ns1:Root/ns1:Prog/ns1:Target_P7_3" xmlDataType="double"/>
    </xmlCellPr>
  </singleXmlCell>
  <singleXmlCell id="619" xr6:uid="{00000000-000C-0000-FFFF-FFFF34010000}" r="M123" connectionId="0">
    <xmlCellPr id="1" xr6:uid="{00000000-0010-0000-3401-000001000000}" uniqueName="1">
      <xmlPr mapId="43" xpath="/ns1:Root/ns1:Prog/ns1:Target_P6_3" xmlDataType="double"/>
    </xmlCellPr>
  </singleXmlCell>
  <singleXmlCell id="618" xr6:uid="{00000000-000C-0000-FFFF-FFFF35010000}" r="L123" connectionId="0">
    <xmlCellPr id="1" xr6:uid="{00000000-0010-0000-3501-000001000000}" uniqueName="1">
      <xmlPr mapId="43" xpath="/ns1:Root/ns1:Prog/ns1:Target_P5_3" xmlDataType="double"/>
    </xmlCellPr>
  </singleXmlCell>
  <singleXmlCell id="617" xr6:uid="{00000000-000C-0000-FFFF-FFFF36010000}" r="K123" connectionId="0">
    <xmlCellPr id="1" xr6:uid="{00000000-0010-0000-3601-000001000000}" uniqueName="1">
      <xmlPr mapId="43" xpath="/ns1:Root/ns1:Prog/ns1:Target_P4_3" xmlDataType="double"/>
    </xmlCellPr>
  </singleXmlCell>
  <singleXmlCell id="616" xr6:uid="{00000000-000C-0000-FFFF-FFFF37010000}" r="J123" connectionId="0">
    <xmlCellPr id="1" xr6:uid="{00000000-0010-0000-3701-000001000000}" uniqueName="1">
      <xmlPr mapId="43" xpath="/ns1:Root/ns1:Prog/ns1:Target_P3_3" xmlDataType="double"/>
    </xmlCellPr>
  </singleXmlCell>
  <singleXmlCell id="615" xr6:uid="{00000000-000C-0000-FFFF-FFFF38010000}" r="I123" connectionId="0">
    <xmlCellPr id="1" xr6:uid="{00000000-0010-0000-3801-000001000000}" uniqueName="1">
      <xmlPr mapId="43" xpath="/ns1:Root/ns1:Prog/ns1:Target_P2_3" xmlDataType="double"/>
    </xmlCellPr>
  </singleXmlCell>
  <singleXmlCell id="614" xr6:uid="{00000000-000C-0000-FFFF-FFFF39010000}" r="H123" connectionId="0">
    <xmlCellPr id="1" xr6:uid="{00000000-0010-0000-39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B4" sqref="B4:E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17" t="str">
        <f>+'Detail despre Grant'!B3:J3</f>
        <v>Tabel Programatic de Evaluare:  Moldova - HIVAIDS / TB</v>
      </c>
      <c r="C2" s="617"/>
      <c r="D2" s="617"/>
      <c r="E2" s="617"/>
      <c r="F2" s="617"/>
      <c r="G2" s="617"/>
      <c r="H2" s="617"/>
      <c r="I2" s="617"/>
      <c r="J2" s="617"/>
      <c r="K2" s="617"/>
      <c r="L2" s="617"/>
      <c r="M2" s="1"/>
      <c r="N2" s="1"/>
      <c r="O2" s="1"/>
    </row>
    <row r="4" spans="2:15" ht="21">
      <c r="B4" s="618" t="str">
        <f>+IF('Introducerea datelor'!G6="Please Select", "",'Introducerea datelor'!G6) &amp;"  "&amp;+IF('Introducerea datelor'!G8="Please Select", "", 'Introducerea datelor'!G8&amp;",  ")&amp;+IF('Introducerea datelor'!I8="Please Select","",'Introducerea datelor'!I8)</f>
        <v xml:space="preserve">HIVAIDS / TB  </v>
      </c>
      <c r="C4" s="618"/>
      <c r="D4" s="618"/>
      <c r="E4" s="619"/>
      <c r="F4" s="133"/>
      <c r="G4" s="133"/>
      <c r="H4" s="194" t="str">
        <f>+'Introducerea datelor'!B6&amp;" "&amp;+'Introducerea datelor'!C6</f>
        <v>No. Grantului : MDA-C-PCIMU</v>
      </c>
      <c r="I4" s="194"/>
      <c r="J4" s="132"/>
      <c r="K4" s="133"/>
      <c r="L4" s="133"/>
    </row>
    <row r="22" spans="2:12" ht="26.25">
      <c r="B22" s="620" t="s">
        <v>273</v>
      </c>
      <c r="C22" s="621"/>
      <c r="D22" s="621"/>
      <c r="E22" s="621"/>
      <c r="F22" s="621"/>
      <c r="G22" s="621"/>
      <c r="H22" s="621"/>
      <c r="I22" s="621"/>
      <c r="J22" s="621"/>
      <c r="K22" s="621"/>
      <c r="L22" s="621"/>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Q144"/>
  <sheetViews>
    <sheetView showGridLines="0" zoomScale="80" zoomScaleNormal="80" workbookViewId="0">
      <selection activeCell="F9" sqref="F9"/>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7" ht="25.5" customHeight="1"/>
    <row r="3" spans="2:17" ht="36">
      <c r="B3" s="941" t="str">
        <f>'Detail despre Grant'!B3:J3</f>
        <v>Tabel Programatic de Evaluare:  Moldova - HIVAIDS / TB</v>
      </c>
      <c r="C3" s="941"/>
      <c r="D3" s="941"/>
      <c r="E3" s="941"/>
      <c r="F3" s="941"/>
      <c r="G3" s="941"/>
      <c r="H3" s="941"/>
      <c r="I3" s="941"/>
      <c r="J3" s="941"/>
      <c r="K3" s="1"/>
    </row>
    <row r="6" spans="2:17" ht="18.75">
      <c r="B6" s="884" t="s">
        <v>245</v>
      </c>
      <c r="C6" s="884"/>
      <c r="D6" s="884"/>
      <c r="E6" s="884"/>
      <c r="F6" s="884"/>
      <c r="G6" s="884"/>
      <c r="H6" s="884"/>
      <c r="I6" s="884"/>
      <c r="J6" s="884"/>
    </row>
    <row r="8" spans="2:17" ht="18.75">
      <c r="B8" s="44" t="s">
        <v>13</v>
      </c>
      <c r="C8" s="44" t="s">
        <v>16</v>
      </c>
      <c r="D8" s="44" t="s">
        <v>17</v>
      </c>
      <c r="E8" s="44" t="s">
        <v>22</v>
      </c>
      <c r="F8" s="44" t="s">
        <v>229</v>
      </c>
      <c r="G8" s="44" t="s">
        <v>432</v>
      </c>
      <c r="H8" s="44" t="s">
        <v>433</v>
      </c>
      <c r="I8" s="44" t="s">
        <v>213</v>
      </c>
      <c r="J8" s="44" t="s">
        <v>232</v>
      </c>
      <c r="K8" s="45" t="s">
        <v>52</v>
      </c>
      <c r="L8" s="45" t="s">
        <v>78</v>
      </c>
      <c r="O8" s="19"/>
      <c r="P8" s="19"/>
      <c r="Q8" s="19"/>
    </row>
    <row r="9" spans="2:17">
      <c r="B9" s="55" t="s">
        <v>268</v>
      </c>
      <c r="C9" s="55" t="s">
        <v>268</v>
      </c>
      <c r="D9" s="55" t="s">
        <v>268</v>
      </c>
      <c r="E9" s="55" t="s">
        <v>268</v>
      </c>
      <c r="F9" s="55" t="s">
        <v>268</v>
      </c>
      <c r="G9" s="55"/>
      <c r="H9" s="55"/>
      <c r="I9" s="55" t="s">
        <v>268</v>
      </c>
      <c r="J9" s="55" t="s">
        <v>268</v>
      </c>
      <c r="K9" s="218" t="s">
        <v>268</v>
      </c>
      <c r="L9" s="55" t="s">
        <v>268</v>
      </c>
      <c r="O9" s="19"/>
      <c r="P9" s="19"/>
      <c r="Q9" s="19"/>
    </row>
    <row r="10" spans="2:17">
      <c r="B10" s="39" t="s">
        <v>12</v>
      </c>
      <c r="C10" s="39" t="s">
        <v>7</v>
      </c>
      <c r="D10" s="39" t="s">
        <v>5</v>
      </c>
      <c r="E10" s="39" t="s">
        <v>6</v>
      </c>
      <c r="F10" s="39" t="s">
        <v>60</v>
      </c>
      <c r="G10" s="328">
        <v>43101</v>
      </c>
      <c r="H10" s="328">
        <v>43281</v>
      </c>
      <c r="I10" s="221" t="s">
        <v>24</v>
      </c>
      <c r="J10" s="42" t="s">
        <v>29</v>
      </c>
      <c r="K10" s="23" t="s">
        <v>235</v>
      </c>
      <c r="L10" s="55" t="s">
        <v>79</v>
      </c>
      <c r="O10" s="19"/>
      <c r="P10" s="19"/>
      <c r="Q10" s="19"/>
    </row>
    <row r="11" spans="2:17">
      <c r="B11" s="39" t="s">
        <v>14</v>
      </c>
      <c r="C11" s="39" t="s">
        <v>2</v>
      </c>
      <c r="D11" s="39" t="s">
        <v>8</v>
      </c>
      <c r="E11" s="39" t="s">
        <v>4</v>
      </c>
      <c r="F11" s="39" t="s">
        <v>61</v>
      </c>
      <c r="G11" s="328">
        <v>43282</v>
      </c>
      <c r="H11" s="328">
        <v>43465</v>
      </c>
      <c r="I11" s="221" t="s">
        <v>25</v>
      </c>
      <c r="J11" s="42" t="s">
        <v>30</v>
      </c>
      <c r="K11" s="23" t="s">
        <v>236</v>
      </c>
      <c r="L11" s="55" t="s">
        <v>80</v>
      </c>
      <c r="O11" s="19"/>
      <c r="P11" s="19"/>
      <c r="Q11" s="19"/>
    </row>
    <row r="12" spans="2:17">
      <c r="B12" s="39" t="s">
        <v>15</v>
      </c>
      <c r="D12" s="39" t="s">
        <v>9</v>
      </c>
      <c r="E12" s="39" t="s">
        <v>10</v>
      </c>
      <c r="F12" s="39" t="s">
        <v>62</v>
      </c>
      <c r="G12" s="328">
        <v>43466</v>
      </c>
      <c r="H12" s="328">
        <v>43646</v>
      </c>
      <c r="I12" s="221" t="s">
        <v>26</v>
      </c>
      <c r="J12" s="42" t="s">
        <v>31</v>
      </c>
      <c r="K12" s="23" t="s">
        <v>237</v>
      </c>
      <c r="L12" s="55" t="s">
        <v>81</v>
      </c>
      <c r="O12" s="119"/>
      <c r="P12" s="19"/>
      <c r="Q12" s="19"/>
    </row>
    <row r="13" spans="2:17">
      <c r="B13" s="39" t="s">
        <v>50</v>
      </c>
      <c r="D13" s="39" t="s">
        <v>11</v>
      </c>
      <c r="E13" s="40"/>
      <c r="F13" s="39" t="s">
        <v>63</v>
      </c>
      <c r="G13" s="328">
        <v>43647</v>
      </c>
      <c r="H13" s="328">
        <v>43830</v>
      </c>
      <c r="I13" s="221" t="s">
        <v>27</v>
      </c>
      <c r="J13" s="42" t="s">
        <v>32</v>
      </c>
      <c r="K13" s="23" t="s">
        <v>238</v>
      </c>
      <c r="L13" s="55" t="s">
        <v>82</v>
      </c>
      <c r="O13" s="119"/>
      <c r="P13" s="19"/>
      <c r="Q13" s="19"/>
    </row>
    <row r="14" spans="2:17">
      <c r="B14" s="39" t="s">
        <v>51</v>
      </c>
      <c r="D14" s="39" t="s">
        <v>18</v>
      </c>
      <c r="F14" s="39" t="s">
        <v>70</v>
      </c>
      <c r="G14" s="328">
        <v>43831</v>
      </c>
      <c r="H14" s="328">
        <v>44012</v>
      </c>
      <c r="I14" s="221" t="s">
        <v>28</v>
      </c>
      <c r="J14" s="42" t="s">
        <v>33</v>
      </c>
      <c r="K14" s="23" t="s">
        <v>214</v>
      </c>
      <c r="L14" s="55" t="s">
        <v>83</v>
      </c>
      <c r="O14" s="119"/>
      <c r="P14" s="19"/>
      <c r="Q14" s="19"/>
    </row>
    <row r="15" spans="2:17">
      <c r="D15" s="39" t="s">
        <v>19</v>
      </c>
      <c r="F15" s="39" t="s">
        <v>71</v>
      </c>
      <c r="G15" s="328">
        <v>44013</v>
      </c>
      <c r="H15" s="328">
        <v>44196</v>
      </c>
      <c r="J15" s="42" t="s">
        <v>34</v>
      </c>
      <c r="K15" s="23" t="s">
        <v>40</v>
      </c>
      <c r="L15" s="55" t="s">
        <v>84</v>
      </c>
      <c r="O15" s="119"/>
      <c r="P15" s="19"/>
      <c r="Q15" s="19"/>
    </row>
    <row r="16" spans="2:17">
      <c r="D16" s="39" t="s">
        <v>20</v>
      </c>
      <c r="F16" s="39" t="s">
        <v>72</v>
      </c>
      <c r="G16" s="328" t="s">
        <v>434</v>
      </c>
      <c r="H16" s="328" t="s">
        <v>434</v>
      </c>
      <c r="J16" s="42" t="s">
        <v>35</v>
      </c>
      <c r="K16" s="23" t="s">
        <v>41</v>
      </c>
      <c r="L16" s="55" t="s">
        <v>85</v>
      </c>
      <c r="O16" s="119"/>
      <c r="P16" s="19"/>
      <c r="Q16" s="19"/>
    </row>
    <row r="17" spans="4:17">
      <c r="D17" s="39" t="s">
        <v>21</v>
      </c>
      <c r="F17" s="39" t="s">
        <v>73</v>
      </c>
      <c r="G17" s="328" t="s">
        <v>434</v>
      </c>
      <c r="H17" s="328" t="s">
        <v>434</v>
      </c>
      <c r="J17" s="42" t="s">
        <v>36</v>
      </c>
      <c r="K17" s="23" t="s">
        <v>42</v>
      </c>
      <c r="L17" s="55" t="s">
        <v>86</v>
      </c>
      <c r="O17" s="119"/>
      <c r="P17" s="19"/>
      <c r="Q17" s="19"/>
    </row>
    <row r="18" spans="4:17">
      <c r="D18" s="39" t="s">
        <v>3</v>
      </c>
      <c r="F18" s="39" t="s">
        <v>74</v>
      </c>
      <c r="G18" s="328" t="s">
        <v>434</v>
      </c>
      <c r="H18" s="328" t="s">
        <v>434</v>
      </c>
      <c r="J18" s="42" t="s">
        <v>37</v>
      </c>
      <c r="K18" s="23" t="s">
        <v>43</v>
      </c>
      <c r="L18" s="55" t="s">
        <v>87</v>
      </c>
      <c r="O18" s="119"/>
      <c r="P18" s="19"/>
      <c r="Q18" s="19"/>
    </row>
    <row r="19" spans="4:17">
      <c r="D19" s="220" t="s">
        <v>267</v>
      </c>
      <c r="F19" s="39" t="s">
        <v>75</v>
      </c>
      <c r="G19" s="328" t="s">
        <v>434</v>
      </c>
      <c r="H19" s="328" t="s">
        <v>434</v>
      </c>
      <c r="J19" s="42" t="s">
        <v>38</v>
      </c>
      <c r="K19" s="23" t="s">
        <v>44</v>
      </c>
      <c r="L19" s="55" t="s">
        <v>88</v>
      </c>
      <c r="O19" s="119"/>
      <c r="P19" s="19"/>
      <c r="Q19" s="19"/>
    </row>
    <row r="20" spans="4:17">
      <c r="D20" s="41"/>
      <c r="F20" s="39" t="s">
        <v>76</v>
      </c>
      <c r="G20" s="328" t="s">
        <v>434</v>
      </c>
      <c r="H20" s="328" t="s">
        <v>434</v>
      </c>
      <c r="J20" s="42" t="s">
        <v>211</v>
      </c>
      <c r="K20" s="23" t="s">
        <v>45</v>
      </c>
      <c r="L20" s="55" t="s">
        <v>89</v>
      </c>
      <c r="O20" s="19"/>
      <c r="P20" s="19"/>
      <c r="Q20" s="19"/>
    </row>
    <row r="21" spans="4:17">
      <c r="D21" s="43"/>
      <c r="F21" s="39" t="s">
        <v>230</v>
      </c>
      <c r="G21" s="328" t="s">
        <v>434</v>
      </c>
      <c r="H21" s="328" t="s">
        <v>434</v>
      </c>
      <c r="J21" s="43"/>
      <c r="K21" s="23" t="s">
        <v>47</v>
      </c>
      <c r="L21" s="55" t="s">
        <v>90</v>
      </c>
      <c r="O21" s="19"/>
      <c r="P21" s="19"/>
      <c r="Q21" s="19"/>
    </row>
    <row r="22" spans="4:17">
      <c r="J22" s="43"/>
      <c r="K22" s="23" t="s">
        <v>48</v>
      </c>
      <c r="L22" s="55" t="s">
        <v>91</v>
      </c>
      <c r="O22" s="19"/>
      <c r="P22" s="19"/>
      <c r="Q22" s="19"/>
    </row>
    <row r="23" spans="4:17">
      <c r="K23" s="23" t="s">
        <v>46</v>
      </c>
      <c r="L23" s="55" t="s">
        <v>92</v>
      </c>
      <c r="O23" s="19"/>
      <c r="P23" s="19"/>
      <c r="Q23" s="19"/>
    </row>
    <row r="24" spans="4:17">
      <c r="K24" s="23" t="s">
        <v>240</v>
      </c>
      <c r="L24" s="55" t="s">
        <v>93</v>
      </c>
      <c r="O24" s="19"/>
      <c r="P24" s="19"/>
      <c r="Q24" s="19"/>
    </row>
    <row r="25" spans="4:17">
      <c r="K25" s="30"/>
      <c r="L25" s="55" t="s">
        <v>94</v>
      </c>
    </row>
    <row r="26" spans="4:17">
      <c r="K26" s="23" t="s">
        <v>241</v>
      </c>
      <c r="L26" s="55" t="s">
        <v>95</v>
      </c>
    </row>
    <row r="27" spans="4:17">
      <c r="K27" s="23" t="s">
        <v>239</v>
      </c>
      <c r="L27" s="55" t="s">
        <v>96</v>
      </c>
    </row>
    <row r="28" spans="4:17">
      <c r="K28" s="30"/>
      <c r="L28" s="55" t="s">
        <v>97</v>
      </c>
    </row>
    <row r="29" spans="4:17">
      <c r="K29" s="30"/>
      <c r="L29" s="55" t="s">
        <v>98</v>
      </c>
    </row>
    <row r="30" spans="4:17">
      <c r="K30" s="30"/>
      <c r="L30" s="55" t="s">
        <v>99</v>
      </c>
    </row>
    <row r="31" spans="4:17">
      <c r="L31" s="55" t="s">
        <v>100</v>
      </c>
    </row>
    <row r="32" spans="4:17">
      <c r="L32" s="55" t="s">
        <v>101</v>
      </c>
    </row>
    <row r="33" spans="12:12">
      <c r="L33" s="55" t="s">
        <v>102</v>
      </c>
    </row>
    <row r="34" spans="12:12">
      <c r="L34" s="55" t="s">
        <v>103</v>
      </c>
    </row>
    <row r="35" spans="12:12">
      <c r="L35" s="55" t="s">
        <v>104</v>
      </c>
    </row>
    <row r="36" spans="12:12">
      <c r="L36" s="55" t="s">
        <v>104</v>
      </c>
    </row>
    <row r="37" spans="12:12">
      <c r="L37" s="55" t="s">
        <v>105</v>
      </c>
    </row>
    <row r="38" spans="12:12">
      <c r="L38" s="55" t="s">
        <v>106</v>
      </c>
    </row>
    <row r="39" spans="12:12">
      <c r="L39" s="55" t="s">
        <v>107</v>
      </c>
    </row>
    <row r="40" spans="12:12">
      <c r="L40" s="55" t="s">
        <v>108</v>
      </c>
    </row>
    <row r="41" spans="12:12">
      <c r="L41" s="55" t="s">
        <v>109</v>
      </c>
    </row>
    <row r="42" spans="12:12">
      <c r="L42" s="55" t="s">
        <v>110</v>
      </c>
    </row>
    <row r="43" spans="12:12">
      <c r="L43" s="55" t="s">
        <v>111</v>
      </c>
    </row>
    <row r="44" spans="12:12">
      <c r="L44" s="55" t="s">
        <v>112</v>
      </c>
    </row>
    <row r="45" spans="12:12">
      <c r="L45" s="55" t="s">
        <v>113</v>
      </c>
    </row>
    <row r="46" spans="12:12">
      <c r="L46" s="55" t="s">
        <v>114</v>
      </c>
    </row>
    <row r="47" spans="12:12">
      <c r="L47" s="55" t="s">
        <v>115</v>
      </c>
    </row>
    <row r="48" spans="12:12">
      <c r="L48" s="55" t="s">
        <v>116</v>
      </c>
    </row>
    <row r="49" spans="12:12">
      <c r="L49" s="55" t="s">
        <v>117</v>
      </c>
    </row>
    <row r="50" spans="12:12">
      <c r="L50" s="55" t="s">
        <v>118</v>
      </c>
    </row>
    <row r="51" spans="12:12">
      <c r="L51" s="55" t="s">
        <v>119</v>
      </c>
    </row>
    <row r="52" spans="12:12">
      <c r="L52" s="55" t="s">
        <v>120</v>
      </c>
    </row>
    <row r="53" spans="12:12">
      <c r="L53" s="55" t="s">
        <v>121</v>
      </c>
    </row>
    <row r="54" spans="12:12">
      <c r="L54" s="55" t="s">
        <v>122</v>
      </c>
    </row>
    <row r="55" spans="12:12">
      <c r="L55" s="55" t="s">
        <v>123</v>
      </c>
    </row>
    <row r="56" spans="12:12">
      <c r="L56" s="55" t="s">
        <v>124</v>
      </c>
    </row>
    <row r="57" spans="12:12">
      <c r="L57" s="55" t="s">
        <v>125</v>
      </c>
    </row>
    <row r="58" spans="12:12">
      <c r="L58" s="55" t="s">
        <v>126</v>
      </c>
    </row>
    <row r="59" spans="12:12">
      <c r="L59" s="55" t="s">
        <v>127</v>
      </c>
    </row>
    <row r="60" spans="12:12">
      <c r="L60" s="55" t="s">
        <v>128</v>
      </c>
    </row>
    <row r="61" spans="12:12">
      <c r="L61" s="55" t="s">
        <v>129</v>
      </c>
    </row>
    <row r="62" spans="12:12">
      <c r="L62" s="55" t="s">
        <v>130</v>
      </c>
    </row>
    <row r="63" spans="12:12">
      <c r="L63" s="55" t="s">
        <v>131</v>
      </c>
    </row>
    <row r="64" spans="12:12">
      <c r="L64" s="55" t="s">
        <v>132</v>
      </c>
    </row>
    <row r="65" spans="12:12">
      <c r="L65" s="55" t="s">
        <v>133</v>
      </c>
    </row>
    <row r="66" spans="12:12">
      <c r="L66" s="55" t="s">
        <v>134</v>
      </c>
    </row>
    <row r="67" spans="12:12">
      <c r="L67" s="55" t="s">
        <v>135</v>
      </c>
    </row>
    <row r="68" spans="12:12">
      <c r="L68" s="55" t="s">
        <v>136</v>
      </c>
    </row>
    <row r="69" spans="12:12">
      <c r="L69" s="55" t="s">
        <v>137</v>
      </c>
    </row>
    <row r="70" spans="12:12">
      <c r="L70" s="55" t="s">
        <v>138</v>
      </c>
    </row>
    <row r="71" spans="12:12">
      <c r="L71" s="55" t="s">
        <v>139</v>
      </c>
    </row>
    <row r="72" spans="12:12">
      <c r="L72" s="55" t="s">
        <v>140</v>
      </c>
    </row>
    <row r="73" spans="12:12">
      <c r="L73" s="55" t="s">
        <v>141</v>
      </c>
    </row>
    <row r="74" spans="12:12">
      <c r="L74" s="55" t="s">
        <v>142</v>
      </c>
    </row>
    <row r="75" spans="12:12">
      <c r="L75" s="55" t="s">
        <v>143</v>
      </c>
    </row>
    <row r="76" spans="12:12">
      <c r="L76" s="55" t="s">
        <v>144</v>
      </c>
    </row>
    <row r="77" spans="12:12">
      <c r="L77" s="55" t="s">
        <v>145</v>
      </c>
    </row>
    <row r="78" spans="12:12">
      <c r="L78" s="55" t="s">
        <v>146</v>
      </c>
    </row>
    <row r="79" spans="12:12">
      <c r="L79" s="55" t="s">
        <v>147</v>
      </c>
    </row>
    <row r="80" spans="12:12">
      <c r="L80" s="55" t="s">
        <v>148</v>
      </c>
    </row>
    <row r="81" spans="12:12">
      <c r="L81" s="55" t="s">
        <v>149</v>
      </c>
    </row>
    <row r="82" spans="12:12">
      <c r="L82" s="55" t="s">
        <v>150</v>
      </c>
    </row>
    <row r="83" spans="12:12">
      <c r="L83" s="55" t="s">
        <v>151</v>
      </c>
    </row>
    <row r="84" spans="12:12">
      <c r="L84" s="55" t="s">
        <v>152</v>
      </c>
    </row>
    <row r="85" spans="12:12">
      <c r="L85" s="55" t="s">
        <v>153</v>
      </c>
    </row>
    <row r="86" spans="12:12">
      <c r="L86" s="55" t="s">
        <v>154</v>
      </c>
    </row>
    <row r="87" spans="12:12">
      <c r="L87" s="55" t="s">
        <v>155</v>
      </c>
    </row>
    <row r="88" spans="12:12">
      <c r="L88" s="55" t="s">
        <v>156</v>
      </c>
    </row>
    <row r="89" spans="12:12">
      <c r="L89" s="55" t="s">
        <v>157</v>
      </c>
    </row>
    <row r="90" spans="12:12">
      <c r="L90" s="55" t="s">
        <v>158</v>
      </c>
    </row>
    <row r="91" spans="12:12">
      <c r="L91" s="55" t="s">
        <v>159</v>
      </c>
    </row>
    <row r="92" spans="12:12">
      <c r="L92" s="55" t="s">
        <v>160</v>
      </c>
    </row>
    <row r="93" spans="12:12">
      <c r="L93" s="55" t="s">
        <v>161</v>
      </c>
    </row>
    <row r="94" spans="12:12">
      <c r="L94" s="55" t="s">
        <v>162</v>
      </c>
    </row>
    <row r="95" spans="12:12">
      <c r="L95" s="55" t="s">
        <v>163</v>
      </c>
    </row>
    <row r="96" spans="12:12">
      <c r="L96" s="55" t="s">
        <v>164</v>
      </c>
    </row>
    <row r="97" spans="12:12">
      <c r="L97" s="55" t="s">
        <v>165</v>
      </c>
    </row>
    <row r="98" spans="12:12">
      <c r="L98" s="55" t="s">
        <v>166</v>
      </c>
    </row>
    <row r="99" spans="12:12">
      <c r="L99" s="55" t="s">
        <v>167</v>
      </c>
    </row>
    <row r="100" spans="12:12">
      <c r="L100" s="55" t="s">
        <v>168</v>
      </c>
    </row>
    <row r="101" spans="12:12">
      <c r="L101" s="55" t="s">
        <v>169</v>
      </c>
    </row>
    <row r="102" spans="12:12">
      <c r="L102" s="55" t="s">
        <v>170</v>
      </c>
    </row>
    <row r="103" spans="12:12">
      <c r="L103" s="55" t="s">
        <v>171</v>
      </c>
    </row>
    <row r="104" spans="12:12">
      <c r="L104" s="55" t="s">
        <v>172</v>
      </c>
    </row>
    <row r="105" spans="12:12">
      <c r="L105" s="55" t="s">
        <v>173</v>
      </c>
    </row>
    <row r="106" spans="12:12">
      <c r="L106" s="55" t="s">
        <v>174</v>
      </c>
    </row>
    <row r="107" spans="12:12">
      <c r="L107" s="55" t="s">
        <v>175</v>
      </c>
    </row>
    <row r="108" spans="12:12">
      <c r="L108" s="55" t="s">
        <v>176</v>
      </c>
    </row>
    <row r="109" spans="12:12">
      <c r="L109" s="55" t="s">
        <v>177</v>
      </c>
    </row>
    <row r="110" spans="12:12">
      <c r="L110" s="55" t="s">
        <v>178</v>
      </c>
    </row>
    <row r="111" spans="12:12">
      <c r="L111" s="55" t="s">
        <v>49</v>
      </c>
    </row>
    <row r="112" spans="12:12">
      <c r="L112" s="55" t="s">
        <v>179</v>
      </c>
    </row>
    <row r="113" spans="12:12">
      <c r="L113" s="55" t="s">
        <v>180</v>
      </c>
    </row>
    <row r="114" spans="12:12">
      <c r="L114" s="55" t="s">
        <v>181</v>
      </c>
    </row>
    <row r="115" spans="12:12">
      <c r="L115" s="55" t="s">
        <v>182</v>
      </c>
    </row>
    <row r="116" spans="12:12">
      <c r="L116" s="55" t="s">
        <v>183</v>
      </c>
    </row>
    <row r="117" spans="12:12">
      <c r="L117" s="55" t="s">
        <v>184</v>
      </c>
    </row>
    <row r="118" spans="12:12">
      <c r="L118" s="55" t="s">
        <v>185</v>
      </c>
    </row>
    <row r="119" spans="12:12">
      <c r="L119" s="55" t="s">
        <v>186</v>
      </c>
    </row>
    <row r="120" spans="12:12">
      <c r="L120" s="55" t="s">
        <v>187</v>
      </c>
    </row>
    <row r="121" spans="12:12">
      <c r="L121" s="55" t="s">
        <v>188</v>
      </c>
    </row>
    <row r="122" spans="12:12">
      <c r="L122" s="55" t="s">
        <v>189</v>
      </c>
    </row>
    <row r="123" spans="12:12">
      <c r="L123" s="55" t="s">
        <v>190</v>
      </c>
    </row>
    <row r="124" spans="12:12">
      <c r="L124" s="55" t="s">
        <v>191</v>
      </c>
    </row>
    <row r="125" spans="12:12">
      <c r="L125" s="55" t="s">
        <v>192</v>
      </c>
    </row>
    <row r="126" spans="12:12">
      <c r="L126" s="55" t="s">
        <v>193</v>
      </c>
    </row>
    <row r="127" spans="12:12">
      <c r="L127" s="55" t="s">
        <v>194</v>
      </c>
    </row>
    <row r="128" spans="12:12">
      <c r="L128" s="55" t="s">
        <v>195</v>
      </c>
    </row>
    <row r="129" spans="12:12">
      <c r="L129" s="55" t="s">
        <v>196</v>
      </c>
    </row>
    <row r="130" spans="12:12">
      <c r="L130" s="55" t="s">
        <v>197</v>
      </c>
    </row>
    <row r="131" spans="12:12">
      <c r="L131" s="55" t="s">
        <v>198</v>
      </c>
    </row>
    <row r="132" spans="12:12">
      <c r="L132" s="55" t="s">
        <v>199</v>
      </c>
    </row>
    <row r="133" spans="12:12">
      <c r="L133" s="55" t="s">
        <v>200</v>
      </c>
    </row>
    <row r="134" spans="12:12">
      <c r="L134" s="55" t="s">
        <v>201</v>
      </c>
    </row>
    <row r="135" spans="12:12">
      <c r="L135" s="55" t="s">
        <v>202</v>
      </c>
    </row>
    <row r="136" spans="12:12">
      <c r="L136" s="55" t="s">
        <v>203</v>
      </c>
    </row>
    <row r="137" spans="12:12">
      <c r="L137" s="55" t="s">
        <v>204</v>
      </c>
    </row>
    <row r="138" spans="12:12">
      <c r="L138" s="55" t="s">
        <v>205</v>
      </c>
    </row>
    <row r="139" spans="12:12">
      <c r="L139" s="55" t="s">
        <v>206</v>
      </c>
    </row>
    <row r="140" spans="12:12">
      <c r="L140" s="55" t="s">
        <v>207</v>
      </c>
    </row>
    <row r="141" spans="12:12">
      <c r="L141" s="55" t="s">
        <v>208</v>
      </c>
    </row>
    <row r="142" spans="12:12">
      <c r="L142" s="55" t="s">
        <v>209</v>
      </c>
    </row>
    <row r="143" spans="12:12">
      <c r="L143" s="55" t="s">
        <v>210</v>
      </c>
    </row>
    <row r="144" spans="12:12">
      <c r="L144" s="21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G25"/>
  <sheetViews>
    <sheetView zoomScale="85" zoomScaleNormal="85" workbookViewId="0">
      <pane xSplit="1" ySplit="1" topLeftCell="B56" activePane="bottomRight" state="frozen"/>
      <selection pane="topRight" activeCell="B1" sqref="B1"/>
      <selection pane="bottomLeft" activeCell="A2" sqref="A2"/>
      <selection pane="bottomRight" activeCell="D58" sqref="D58:F110"/>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334" t="s">
        <v>463</v>
      </c>
      <c r="B1" s="352" t="s">
        <v>461</v>
      </c>
      <c r="C1" s="334" t="s">
        <v>462</v>
      </c>
      <c r="D1" s="334" t="s">
        <v>250</v>
      </c>
      <c r="E1" s="334" t="s">
        <v>460</v>
      </c>
      <c r="F1" s="334" t="s">
        <v>405</v>
      </c>
      <c r="G1" s="353" t="s">
        <v>406</v>
      </c>
    </row>
    <row r="2" spans="1:7" ht="45">
      <c r="A2" s="327">
        <v>1</v>
      </c>
      <c r="B2" s="351" t="s">
        <v>444</v>
      </c>
      <c r="C2" s="30" t="s">
        <v>15</v>
      </c>
      <c r="D2" s="408" t="s">
        <v>468</v>
      </c>
      <c r="E2" s="409" t="s">
        <v>481</v>
      </c>
      <c r="F2" s="410" t="s">
        <v>407</v>
      </c>
      <c r="G2" s="411" t="s">
        <v>466</v>
      </c>
    </row>
    <row r="3" spans="1:7" ht="62.25" customHeight="1">
      <c r="A3" s="327">
        <v>2</v>
      </c>
      <c r="B3" s="351" t="s">
        <v>444</v>
      </c>
      <c r="C3" s="30" t="s">
        <v>15</v>
      </c>
      <c r="D3" s="408" t="s">
        <v>469</v>
      </c>
      <c r="E3" s="409" t="s">
        <v>473</v>
      </c>
      <c r="F3" s="410" t="s">
        <v>407</v>
      </c>
      <c r="G3" s="411" t="s">
        <v>466</v>
      </c>
    </row>
    <row r="4" spans="1:7" ht="57">
      <c r="A4" s="327">
        <v>3</v>
      </c>
      <c r="B4" s="351" t="s">
        <v>444</v>
      </c>
      <c r="C4" s="30" t="s">
        <v>459</v>
      </c>
      <c r="D4" s="346" t="s">
        <v>440</v>
      </c>
      <c r="E4" s="347" t="s">
        <v>472</v>
      </c>
      <c r="F4" s="348" t="s">
        <v>407</v>
      </c>
      <c r="G4" s="336" t="s">
        <v>471</v>
      </c>
    </row>
    <row r="5" spans="1:7" ht="42.75">
      <c r="A5" s="327">
        <v>4</v>
      </c>
      <c r="B5" s="351" t="s">
        <v>444</v>
      </c>
      <c r="C5" s="30" t="s">
        <v>459</v>
      </c>
      <c r="D5" s="346" t="s">
        <v>474</v>
      </c>
      <c r="E5" s="347" t="s">
        <v>470</v>
      </c>
      <c r="F5" s="348" t="s">
        <v>441</v>
      </c>
      <c r="G5" s="414" t="s">
        <v>505</v>
      </c>
    </row>
    <row r="6" spans="1:7" ht="30">
      <c r="A6" s="327">
        <v>5</v>
      </c>
      <c r="B6" s="351" t="s">
        <v>444</v>
      </c>
      <c r="C6" s="30" t="s">
        <v>459</v>
      </c>
      <c r="D6" s="346" t="s">
        <v>475</v>
      </c>
      <c r="E6" s="347" t="s">
        <v>442</v>
      </c>
      <c r="F6" s="348" t="s">
        <v>441</v>
      </c>
      <c r="G6" s="414" t="s">
        <v>506</v>
      </c>
    </row>
    <row r="7" spans="1:7" ht="30">
      <c r="A7" s="327">
        <v>6</v>
      </c>
      <c r="B7" s="351" t="s">
        <v>444</v>
      </c>
      <c r="C7" s="30" t="s">
        <v>459</v>
      </c>
      <c r="D7" s="346" t="s">
        <v>476</v>
      </c>
      <c r="E7" s="349" t="s">
        <v>443</v>
      </c>
      <c r="F7" s="350" t="s">
        <v>441</v>
      </c>
      <c r="G7" s="414" t="s">
        <v>506</v>
      </c>
    </row>
    <row r="8" spans="1:7" ht="57">
      <c r="A8" s="327">
        <v>7</v>
      </c>
      <c r="B8" s="351" t="s">
        <v>450</v>
      </c>
      <c r="C8" s="30" t="s">
        <v>15</v>
      </c>
      <c r="D8" s="408" t="s">
        <v>477</v>
      </c>
      <c r="E8" s="410" t="s">
        <v>479</v>
      </c>
      <c r="F8" s="410" t="s">
        <v>416</v>
      </c>
      <c r="G8" s="411" t="s">
        <v>466</v>
      </c>
    </row>
    <row r="9" spans="1:7" ht="57">
      <c r="A9" s="327">
        <v>8</v>
      </c>
      <c r="B9" s="351" t="s">
        <v>450</v>
      </c>
      <c r="C9" s="30" t="s">
        <v>15</v>
      </c>
      <c r="D9" s="408" t="s">
        <v>478</v>
      </c>
      <c r="E9" s="410" t="s">
        <v>480</v>
      </c>
      <c r="F9" s="410" t="s">
        <v>416</v>
      </c>
      <c r="G9" s="411" t="s">
        <v>466</v>
      </c>
    </row>
    <row r="10" spans="1:7" ht="57">
      <c r="A10" s="327">
        <v>9</v>
      </c>
      <c r="B10" s="351" t="s">
        <v>450</v>
      </c>
      <c r="C10" s="30" t="s">
        <v>15</v>
      </c>
      <c r="D10" s="408" t="s">
        <v>482</v>
      </c>
      <c r="E10" s="410" t="s">
        <v>483</v>
      </c>
      <c r="F10" s="410" t="s">
        <v>407</v>
      </c>
      <c r="G10" s="411" t="s">
        <v>484</v>
      </c>
    </row>
    <row r="11" spans="1:7" ht="85.5">
      <c r="A11" s="327">
        <v>10</v>
      </c>
      <c r="B11" s="351" t="s">
        <v>450</v>
      </c>
      <c r="C11" s="30" t="s">
        <v>459</v>
      </c>
      <c r="D11" s="346" t="s">
        <v>485</v>
      </c>
      <c r="E11" s="348" t="s">
        <v>486</v>
      </c>
      <c r="F11" s="348" t="s">
        <v>407</v>
      </c>
      <c r="G11" s="336" t="s">
        <v>504</v>
      </c>
    </row>
    <row r="12" spans="1:7" ht="60">
      <c r="A12" s="327">
        <v>11</v>
      </c>
      <c r="B12" s="351" t="s">
        <v>450</v>
      </c>
      <c r="C12" s="30" t="s">
        <v>459</v>
      </c>
      <c r="D12" s="346" t="s">
        <v>445</v>
      </c>
      <c r="E12" s="348" t="s">
        <v>465</v>
      </c>
      <c r="F12" s="348" t="s">
        <v>441</v>
      </c>
      <c r="G12" s="414" t="s">
        <v>506</v>
      </c>
    </row>
    <row r="13" spans="1:7" ht="45">
      <c r="A13" s="327">
        <v>12</v>
      </c>
      <c r="B13" s="351" t="s">
        <v>450</v>
      </c>
      <c r="C13" s="30" t="s">
        <v>459</v>
      </c>
      <c r="D13" s="346" t="s">
        <v>446</v>
      </c>
      <c r="E13" s="348" t="s">
        <v>448</v>
      </c>
      <c r="F13" s="348" t="s">
        <v>441</v>
      </c>
      <c r="G13" s="414" t="s">
        <v>506</v>
      </c>
    </row>
    <row r="14" spans="1:7" ht="60">
      <c r="A14" s="327">
        <v>13</v>
      </c>
      <c r="B14" s="351" t="s">
        <v>450</v>
      </c>
      <c r="C14" s="30" t="s">
        <v>459</v>
      </c>
      <c r="D14" s="346" t="s">
        <v>447</v>
      </c>
      <c r="E14" s="350" t="s">
        <v>449</v>
      </c>
      <c r="F14" s="350" t="s">
        <v>441</v>
      </c>
      <c r="G14" s="414" t="s">
        <v>506</v>
      </c>
    </row>
    <row r="15" spans="1:7" ht="45">
      <c r="A15" s="327">
        <v>14</v>
      </c>
      <c r="B15" s="351" t="s">
        <v>458</v>
      </c>
      <c r="C15" s="30" t="s">
        <v>15</v>
      </c>
      <c r="D15" s="408" t="s">
        <v>487</v>
      </c>
      <c r="E15" s="410" t="s">
        <v>490</v>
      </c>
      <c r="F15" s="348" t="s">
        <v>407</v>
      </c>
      <c r="G15" s="411" t="s">
        <v>425</v>
      </c>
    </row>
    <row r="16" spans="1:7" ht="75">
      <c r="A16" s="327">
        <v>15</v>
      </c>
      <c r="B16" s="351" t="s">
        <v>458</v>
      </c>
      <c r="C16" s="30" t="s">
        <v>15</v>
      </c>
      <c r="D16" s="408" t="s">
        <v>488</v>
      </c>
      <c r="E16" s="410" t="s">
        <v>489</v>
      </c>
      <c r="F16" s="348" t="s">
        <v>407</v>
      </c>
      <c r="G16" s="411" t="s">
        <v>423</v>
      </c>
    </row>
    <row r="17" spans="1:7" ht="57">
      <c r="A17" s="327">
        <v>16</v>
      </c>
      <c r="B17" s="351" t="s">
        <v>458</v>
      </c>
      <c r="C17" s="30" t="s">
        <v>15</v>
      </c>
      <c r="D17" s="408" t="s">
        <v>491</v>
      </c>
      <c r="E17" s="410" t="s">
        <v>492</v>
      </c>
      <c r="F17" s="348" t="s">
        <v>407</v>
      </c>
      <c r="G17" s="411" t="s">
        <v>424</v>
      </c>
    </row>
    <row r="18" spans="1:7" ht="49.5" customHeight="1">
      <c r="A18" s="327">
        <v>17</v>
      </c>
      <c r="B18" s="351" t="s">
        <v>458</v>
      </c>
      <c r="C18" s="30" t="s">
        <v>15</v>
      </c>
      <c r="D18" s="408" t="s">
        <v>493</v>
      </c>
      <c r="E18" s="410" t="s">
        <v>494</v>
      </c>
      <c r="F18" s="348" t="s">
        <v>407</v>
      </c>
      <c r="G18" s="411" t="s">
        <v>424</v>
      </c>
    </row>
    <row r="19" spans="1:7" ht="99.75">
      <c r="A19" s="327">
        <v>18</v>
      </c>
      <c r="B19" s="351" t="s">
        <v>458</v>
      </c>
      <c r="C19" s="30" t="s">
        <v>459</v>
      </c>
      <c r="D19" s="346" t="s">
        <v>451</v>
      </c>
      <c r="E19" s="348" t="s">
        <v>500</v>
      </c>
      <c r="F19" s="348" t="s">
        <v>407</v>
      </c>
      <c r="G19" s="336" t="s">
        <v>495</v>
      </c>
    </row>
    <row r="20" spans="1:7" ht="60">
      <c r="A20" s="327">
        <v>19</v>
      </c>
      <c r="B20" s="351" t="s">
        <v>458</v>
      </c>
      <c r="C20" s="30" t="s">
        <v>459</v>
      </c>
      <c r="D20" s="346" t="s">
        <v>452</v>
      </c>
      <c r="E20" s="348" t="s">
        <v>498</v>
      </c>
      <c r="F20" s="348" t="s">
        <v>407</v>
      </c>
      <c r="G20" s="336" t="s">
        <v>495</v>
      </c>
    </row>
    <row r="21" spans="1:7" ht="99.75">
      <c r="A21" s="327">
        <v>20</v>
      </c>
      <c r="B21" s="351" t="s">
        <v>458</v>
      </c>
      <c r="C21" s="30" t="s">
        <v>459</v>
      </c>
      <c r="D21" s="346" t="s">
        <v>453</v>
      </c>
      <c r="E21" s="348" t="s">
        <v>501</v>
      </c>
      <c r="F21" s="348" t="s">
        <v>407</v>
      </c>
      <c r="G21" s="336" t="s">
        <v>495</v>
      </c>
    </row>
    <row r="22" spans="1:7" ht="45">
      <c r="A22" s="327">
        <v>21</v>
      </c>
      <c r="B22" s="351" t="s">
        <v>458</v>
      </c>
      <c r="C22" s="30" t="s">
        <v>459</v>
      </c>
      <c r="D22" s="346" t="s">
        <v>454</v>
      </c>
      <c r="E22" s="348" t="s">
        <v>503</v>
      </c>
      <c r="F22" s="348" t="s">
        <v>407</v>
      </c>
      <c r="G22" s="336" t="s">
        <v>495</v>
      </c>
    </row>
    <row r="23" spans="1:7" ht="99.75">
      <c r="A23" s="327">
        <v>22</v>
      </c>
      <c r="B23" s="351" t="s">
        <v>458</v>
      </c>
      <c r="C23" s="30" t="s">
        <v>459</v>
      </c>
      <c r="D23" s="346" t="s">
        <v>455</v>
      </c>
      <c r="E23" s="348" t="s">
        <v>502</v>
      </c>
      <c r="F23" s="348" t="s">
        <v>407</v>
      </c>
      <c r="G23" s="336" t="s">
        <v>496</v>
      </c>
    </row>
    <row r="24" spans="1:7" ht="57">
      <c r="A24" s="327">
        <v>23</v>
      </c>
      <c r="B24" s="351" t="s">
        <v>458</v>
      </c>
      <c r="C24" s="30" t="s">
        <v>459</v>
      </c>
      <c r="D24" s="346" t="s">
        <v>456</v>
      </c>
      <c r="E24" s="348" t="s">
        <v>499</v>
      </c>
      <c r="F24" s="348" t="s">
        <v>407</v>
      </c>
      <c r="G24" s="336" t="s">
        <v>495</v>
      </c>
    </row>
    <row r="25" spans="1:7" ht="71.25">
      <c r="A25" s="327">
        <v>24</v>
      </c>
      <c r="B25" s="354" t="s">
        <v>458</v>
      </c>
      <c r="C25" s="355" t="s">
        <v>459</v>
      </c>
      <c r="D25" s="356" t="s">
        <v>457</v>
      </c>
      <c r="E25" s="357" t="s">
        <v>497</v>
      </c>
      <c r="F25" s="357" t="s">
        <v>407</v>
      </c>
      <c r="G25" s="358" t="s">
        <v>504</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O61"/>
  <sheetViews>
    <sheetView showGridLines="0" view="pageBreakPreview" zoomScale="70" zoomScaleNormal="70" zoomScaleSheetLayoutView="70" workbookViewId="0">
      <pane ySplit="2" topLeftCell="A48" activePane="bottomLeft" state="frozen"/>
      <selection activeCell="E22" sqref="E22"/>
      <selection pane="bottomLeft" activeCell="C65" sqref="C65"/>
    </sheetView>
  </sheetViews>
  <sheetFormatPr defaultColWidth="11" defaultRowHeight="15"/>
  <cols>
    <col min="1" max="1" width="3.42578125" style="359" bestFit="1" customWidth="1"/>
    <col min="2" max="2" width="4" customWidth="1"/>
    <col min="3" max="3" width="78.42578125" customWidth="1"/>
    <col min="4" max="4" width="183.5703125" bestFit="1" customWidth="1"/>
    <col min="5" max="5" width="33" bestFit="1" customWidth="1"/>
    <col min="6" max="6" width="40.7109375" bestFit="1" customWidth="1"/>
    <col min="7" max="7" width="2.85546875" style="29" customWidth="1"/>
    <col min="8" max="8" width="3" style="29"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1" spans="1:8">
      <c r="B1" s="3"/>
      <c r="C1" s="3"/>
      <c r="D1" s="3"/>
      <c r="E1" s="3"/>
      <c r="F1" s="3"/>
    </row>
    <row r="2" spans="1:8" ht="28.5">
      <c r="B2" s="3"/>
      <c r="C2" s="400" t="str">
        <f>+"Tabel Programatic de Evaluare: "&amp;" "&amp;+IF('Introducerea datelor'!C4="Please Select","",'Introducerea datelor'!C4&amp;" - ")&amp;+IF('Introducerea datelor'!G6="Please Select","",'Introducerea datelor'!G6)</f>
        <v>Tabel Programatic de Evaluare:  Moldova - HIVAIDS / TB</v>
      </c>
      <c r="D2" s="400"/>
      <c r="E2" s="400"/>
      <c r="F2" s="400"/>
    </row>
    <row r="3" spans="1:8" ht="28.5">
      <c r="B3" s="3"/>
      <c r="C3" s="130"/>
      <c r="D3" s="130"/>
      <c r="E3" s="130"/>
      <c r="F3" s="3"/>
    </row>
    <row r="5" spans="1:8" ht="23.25">
      <c r="C5" s="367" t="s">
        <v>226</v>
      </c>
      <c r="D5" s="367"/>
      <c r="E5" s="367"/>
      <c r="F5" s="367"/>
      <c r="G5" s="367"/>
      <c r="H5" s="367"/>
    </row>
    <row r="7" spans="1:8" ht="21">
      <c r="C7" s="401" t="s">
        <v>215</v>
      </c>
      <c r="D7" s="401" t="s">
        <v>216</v>
      </c>
      <c r="E7" s="401" t="s">
        <v>217</v>
      </c>
      <c r="F7" s="401" t="s">
        <v>251</v>
      </c>
      <c r="G7" s="402"/>
      <c r="H7" s="403"/>
    </row>
    <row r="8" spans="1:8" ht="85.5">
      <c r="C8" s="380" t="str">
        <f>+'Introducerea datelor'!B27</f>
        <v>F1: Bugetul și debursările de către Fondul Global</v>
      </c>
      <c r="D8" s="404" t="s">
        <v>269</v>
      </c>
      <c r="E8" s="377" t="s">
        <v>252</v>
      </c>
      <c r="F8" s="377" t="s">
        <v>270</v>
      </c>
      <c r="G8" s="378"/>
      <c r="H8" s="379"/>
    </row>
    <row r="9" spans="1:8" ht="71.25">
      <c r="C9" s="380" t="str">
        <f>+'Introducerea datelor'!B36</f>
        <v>F2: Bugetul și cheltuielile actuale după Obiectivele Grantului</v>
      </c>
      <c r="D9" s="399" t="s">
        <v>260</v>
      </c>
      <c r="E9" s="377" t="s">
        <v>254</v>
      </c>
      <c r="F9" s="377" t="s">
        <v>270</v>
      </c>
      <c r="G9" s="378"/>
      <c r="H9" s="379"/>
    </row>
    <row r="10" spans="1:8" ht="156.75">
      <c r="C10" s="380" t="str">
        <f>+'Introducerea datelor'!B51</f>
        <v>F3: Debursări și cheltuieli</v>
      </c>
      <c r="D10" s="399" t="s">
        <v>271</v>
      </c>
      <c r="E10" s="377" t="s">
        <v>261</v>
      </c>
      <c r="F10" s="377" t="s">
        <v>253</v>
      </c>
      <c r="G10" s="378"/>
      <c r="H10" s="379"/>
    </row>
    <row r="11" spans="1:8" ht="174.75">
      <c r="C11" s="380" t="str">
        <f>+'Introducerea datelor'!B60</f>
        <v xml:space="preserve">F4: Ultima perioadă de raportare și debursare a RP </v>
      </c>
      <c r="D11" s="399" t="s">
        <v>274</v>
      </c>
      <c r="E11" s="377" t="s">
        <v>262</v>
      </c>
      <c r="F11" s="377" t="s">
        <v>220</v>
      </c>
      <c r="G11" s="378"/>
      <c r="H11" s="379"/>
    </row>
    <row r="12" spans="1:8" s="19" customFormat="1">
      <c r="A12" s="360"/>
      <c r="C12" s="406"/>
      <c r="D12" s="405"/>
      <c r="E12" s="405"/>
      <c r="F12" s="405"/>
      <c r="G12" s="405"/>
      <c r="H12" s="405"/>
    </row>
    <row r="13" spans="1:8" s="19" customFormat="1">
      <c r="A13" s="360"/>
      <c r="C13" s="398"/>
      <c r="D13" s="394"/>
      <c r="E13" s="394"/>
      <c r="F13" s="394"/>
      <c r="G13" s="394"/>
      <c r="H13" s="394"/>
    </row>
    <row r="14" spans="1:8" s="19" customFormat="1">
      <c r="A14" s="360"/>
      <c r="C14" s="398"/>
      <c r="D14" s="394"/>
      <c r="E14" s="394"/>
      <c r="F14" s="394"/>
      <c r="G14" s="394"/>
      <c r="H14" s="394"/>
    </row>
    <row r="15" spans="1:8" s="19" customFormat="1">
      <c r="A15" s="360"/>
      <c r="C15" s="398"/>
      <c r="D15" s="394"/>
      <c r="E15" s="394"/>
      <c r="F15" s="394"/>
      <c r="G15" s="394"/>
      <c r="H15" s="394"/>
    </row>
    <row r="16" spans="1:8" ht="23.25">
      <c r="C16" s="367" t="s">
        <v>227</v>
      </c>
      <c r="D16" s="367"/>
      <c r="E16" s="367"/>
      <c r="F16" s="367"/>
      <c r="G16" s="367"/>
      <c r="H16" s="367"/>
    </row>
    <row r="18" spans="2:8" ht="21">
      <c r="C18" s="395" t="s">
        <v>215</v>
      </c>
      <c r="D18" s="395" t="s">
        <v>216</v>
      </c>
      <c r="E18" s="395" t="s">
        <v>217</v>
      </c>
      <c r="F18" s="395" t="s">
        <v>218</v>
      </c>
      <c r="G18" s="396"/>
      <c r="H18" s="397"/>
    </row>
    <row r="19" spans="2:8" ht="99.75">
      <c r="C19" s="380" t="str">
        <f>+'Introducerea datelor'!B71</f>
        <v xml:space="preserve">M1: Statutul Condițiilor Precedente și a Acțiunilor Prestabilite în Timp </v>
      </c>
      <c r="D19" s="399" t="s">
        <v>225</v>
      </c>
      <c r="E19" s="377" t="s">
        <v>255</v>
      </c>
      <c r="F19" s="377" t="s">
        <v>256</v>
      </c>
      <c r="G19" s="378"/>
      <c r="H19" s="379"/>
    </row>
    <row r="20" spans="2:8" ht="43.5">
      <c r="C20" s="380" t="str">
        <f>+'Introducerea datelor'!B78</f>
        <v xml:space="preserve">M2: Statutul pozițiilor cheie a RP </v>
      </c>
      <c r="D20" s="399" t="s">
        <v>272</v>
      </c>
      <c r="E20" s="377" t="s">
        <v>222</v>
      </c>
      <c r="F20" s="377" t="s">
        <v>221</v>
      </c>
      <c r="G20" s="378"/>
      <c r="H20" s="379"/>
    </row>
    <row r="21" spans="2:8" ht="102.75">
      <c r="C21" s="380" t="str">
        <f>+'Introducerea datelor'!B83</f>
        <v xml:space="preserve">M3: Aranjamente contractuale (SR) </v>
      </c>
      <c r="D21" s="377" t="s">
        <v>0</v>
      </c>
      <c r="E21" s="377" t="s">
        <v>257</v>
      </c>
      <c r="F21" s="377" t="s">
        <v>258</v>
      </c>
      <c r="G21" s="378"/>
      <c r="H21" s="379"/>
    </row>
    <row r="22" spans="2:8" ht="42.75">
      <c r="C22" s="380" t="str">
        <f>+'Introducerea datelor'!B88</f>
        <v>M4: Numărul rapoartelor complete recepționate la timp</v>
      </c>
      <c r="D22" s="377" t="s">
        <v>275</v>
      </c>
      <c r="E22" s="377" t="s">
        <v>263</v>
      </c>
      <c r="F22" s="377" t="s">
        <v>223</v>
      </c>
      <c r="G22" s="378"/>
      <c r="H22" s="379"/>
    </row>
    <row r="23" spans="2:8" ht="102.75">
      <c r="C23" s="385" t="str">
        <f>+'Introducerea datelor'!B94</f>
        <v xml:space="preserve">M5: Bugetul și Procurarea produselor medicale, echipamentului medical, medicamentelor și produselor farmaceutice </v>
      </c>
      <c r="D23" s="376" t="s">
        <v>264</v>
      </c>
      <c r="E23" s="388" t="s">
        <v>219</v>
      </c>
      <c r="F23" s="388" t="s">
        <v>224</v>
      </c>
      <c r="G23" s="389"/>
      <c r="H23" s="390"/>
    </row>
    <row r="24" spans="2:8" ht="29.25">
      <c r="C24" s="386"/>
      <c r="D24" s="387" t="s">
        <v>259</v>
      </c>
      <c r="E24" s="391"/>
      <c r="F24" s="391"/>
      <c r="G24" s="392"/>
      <c r="H24" s="393"/>
    </row>
    <row r="25" spans="2:8" ht="142.5">
      <c r="C25" s="380" t="str">
        <f>+'Introducerea datelor'!B107</f>
        <v>M6: Diferență între stocul curent și stocul de siguranță</v>
      </c>
      <c r="D25" s="381" t="s">
        <v>276</v>
      </c>
      <c r="E25" s="382" t="s">
        <v>265</v>
      </c>
      <c r="F25" s="382" t="s">
        <v>266</v>
      </c>
      <c r="G25" s="383"/>
      <c r="H25" s="384"/>
    </row>
    <row r="29" spans="2:8" ht="18.75">
      <c r="C29" s="143"/>
    </row>
    <row r="30" spans="2:8" ht="23.25">
      <c r="C30" s="367" t="s">
        <v>414</v>
      </c>
      <c r="D30" s="367"/>
      <c r="E30" s="367"/>
      <c r="F30" s="367"/>
      <c r="G30" s="367"/>
      <c r="H30" s="367"/>
    </row>
    <row r="32" spans="2:8" ht="15.75">
      <c r="B32" s="140"/>
      <c r="C32" s="368" t="s">
        <v>250</v>
      </c>
      <c r="D32" s="369" t="s">
        <v>460</v>
      </c>
      <c r="E32" s="361" t="s">
        <v>405</v>
      </c>
      <c r="F32" s="361" t="s">
        <v>406</v>
      </c>
      <c r="G32" s="362"/>
      <c r="H32" s="363"/>
    </row>
    <row r="33" spans="1:8" ht="30">
      <c r="A33" s="359">
        <v>1</v>
      </c>
      <c r="B33" s="622" t="s">
        <v>444</v>
      </c>
      <c r="C33" s="335" t="str">
        <f>IFERROR(VLOOKUP(A33,Table1[],4,0),"")</f>
        <v>TB I-3(M): Rata mortalităţii  - Numărul estimat de decese cauzate de TB (toate formele) pe an, la 100,000 persoane</v>
      </c>
      <c r="D33" s="341" t="str">
        <f>IFERROR(VLOOKUP(A33,Table1[],5,0),"")</f>
        <v>Numărător: Numărul de decese cauzate de TB (toate formele) înregistrate într-o anumită perioadă per 100,000 persoane.                                                                                                                                                      Numitor: Numărul total al populației în țară.</v>
      </c>
      <c r="E33" s="336" t="str">
        <f>IFERROR(VLOOKUP(A33,Table1[],6,0),"")</f>
        <v xml:space="preserve">Colectat anual </v>
      </c>
      <c r="F33" s="336" t="str">
        <f>IFERROR(VLOOKUP(A33,Table1[],7,0),"")</f>
        <v>Sistemul R&amp;R TB; Rapoarte trimestriale; SYME TB</v>
      </c>
      <c r="G33" s="339"/>
      <c r="H33" s="340"/>
    </row>
    <row r="34" spans="1:8" ht="28.5">
      <c r="A34" s="359">
        <v>2</v>
      </c>
      <c r="B34" s="622"/>
      <c r="C34" s="335" t="str">
        <f>IFERROR(VLOOKUP(A34,Table1[],4,0),"")</f>
        <v xml:space="preserve">TB I-4(M): Prevalența TB MDR printre cazurile noi de tuberculoză </v>
      </c>
      <c r="D34" s="341" t="str">
        <f>IFERROR(VLOOKUP(A34,Sheet1!$A$2:$E$25,5,0),"")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34" s="336" t="str">
        <f>IFERROR(VLOOKUP(A34,Table1[],6,0),"")</f>
        <v xml:space="preserve">Colectat anual </v>
      </c>
      <c r="F34" s="336" t="str">
        <f>IFERROR(VLOOKUP(A34,Table1[],7,0),"")</f>
        <v>Sistemul R&amp;R TB; Rapoarte trimestriale; SYME TB</v>
      </c>
      <c r="G34" s="344"/>
      <c r="H34" s="345"/>
    </row>
    <row r="35" spans="1:8" ht="42.75">
      <c r="A35" s="359">
        <v>3</v>
      </c>
      <c r="B35" s="622"/>
      <c r="C35" s="335" t="str">
        <f>IFERROR(VLOOKUP(A35,Table1[],4,0),"")</f>
        <v>HIV I-4: Mortalitatea asociată cu SIDA la 100,000 populaţie</v>
      </c>
      <c r="D35" s="341" t="str">
        <f>IFERROR(VLOOKUP(A35,Sheet1!$A$2:$E$25,5,0),"")</f>
        <v xml:space="preserve">Numărător: Numărul de decese cauzate de HIV/ SIDA într-o anumită perioadă de timp.                                                  Numitor: Adulți (15+): Numărul total al populației (per 100 000 persoane). Copii (&lt;15): Numărul total al populației (per 1 000 nou-născuți).                                      
                                </v>
      </c>
      <c r="E35" s="336" t="str">
        <f>IFERROR(VLOOKUP(A35,Table1[],6,0),"")</f>
        <v xml:space="preserve">Colectat anual </v>
      </c>
      <c r="F35" s="336" t="str">
        <f>IFERROR(VLOOKUP(A35,Table1[],7,0),"")</f>
        <v xml:space="preserve">Registru pacienți/ Registru Național Decese
</v>
      </c>
      <c r="G35" s="342"/>
      <c r="H35" s="343"/>
    </row>
    <row r="36" spans="1:8" ht="42.75">
      <c r="A36" s="359">
        <v>4</v>
      </c>
      <c r="B36" s="622"/>
      <c r="C36" s="335" t="str">
        <f>IFERROR(VLOOKUP(A36,Table1[],4,0),"")</f>
        <v xml:space="preserve">HIV I-9a (M): Procentul BSB care trăiesc cu HIV </v>
      </c>
      <c r="D36" s="341" t="str">
        <f>IFERROR(VLOOKUP(A36,Sheet1!$A$2:$E$25,5,0),"")</f>
        <v xml:space="preserve">Numărător: Numărul de respondenți care au rezultat HIV pozitiv.                                                                                                             
Numitor: Numărul de respondenți testați pentru HIV.                                                   
                                </v>
      </c>
      <c r="E36" s="336" t="str">
        <f>IFERROR(VLOOKUP(A36,Table1[],6,0),"")</f>
        <v>Studiu Bio-comportamental (BSS)</v>
      </c>
      <c r="F36" s="336" t="str">
        <f>IFERROR(VLOOKUP(A36,Table1[],7,0),"")</f>
        <v xml:space="preserve">
BSS. Data de raportare - 31 August 2020
</v>
      </c>
      <c r="G36" s="342"/>
      <c r="H36" s="343"/>
    </row>
    <row r="37" spans="1:8" ht="28.5">
      <c r="A37" s="359">
        <v>5</v>
      </c>
      <c r="B37" s="622"/>
      <c r="C37" s="335" t="str">
        <f>IFERROR(VLOOKUP(A37,Table1[],4,0),"")</f>
        <v>HIV I-10 (M): Procentul LSC care trăiesc cu HIV</v>
      </c>
      <c r="D37" s="341" t="str">
        <f>IFERROR(VLOOKUP(A37,Sheet1!$A$2:$E$25,5,0),"")</f>
        <v xml:space="preserve">Numărător: Numărul de respondenți care au rezultat HIV pozitiv.                                                                                                             
Numitor: Numărul de respondenți testați pentru HIV.                                                                                       </v>
      </c>
      <c r="E37" s="336" t="str">
        <f>IFERROR(VLOOKUP(A37,Table1[],6,0),"")</f>
        <v>Studiu Bio-comportamental (BSS)</v>
      </c>
      <c r="F37" s="336" t="str">
        <f>IFERROR(VLOOKUP(A37,Table1[],7,0),"")</f>
        <v>BSS. Data de raportare - 31 August 2020</v>
      </c>
      <c r="G37" s="342"/>
      <c r="H37" s="343"/>
    </row>
    <row r="38" spans="1:8" ht="30">
      <c r="A38" s="359">
        <v>6</v>
      </c>
      <c r="B38" s="622"/>
      <c r="C38" s="335" t="str">
        <f>IFERROR(VLOOKUP(A38,Table1[],4,0),"")</f>
        <v>HIV I-11 (M): Procentul consumatorilor de droguri injectabile care trăiesc cu HIV</v>
      </c>
      <c r="D38" s="341" t="str">
        <f>IFERROR(VLOOKUP(A38,Sheet1!$A$2:$E$25,5,0),"")</f>
        <v xml:space="preserve">Numărător: Numărul de respondenți care au rezultat HIV pozitiv.
Numitor: Numărul de respondenți testați pentru HIV.    </v>
      </c>
      <c r="E38" s="336" t="str">
        <f>IFERROR(VLOOKUP(A38,Table1[],6,0),"")</f>
        <v>Studiu Bio-comportamental (BSS)</v>
      </c>
      <c r="F38" s="336" t="str">
        <f>IFERROR(VLOOKUP(A38,Table1[],7,0),"")</f>
        <v>BSS. Data de raportare - 31 August 2020</v>
      </c>
      <c r="G38" s="342"/>
      <c r="H38" s="343"/>
    </row>
    <row r="39" spans="1:8" ht="15.75">
      <c r="B39" s="141"/>
      <c r="C39" s="368" t="str">
        <f>IFERROR(VLOOKUP(A39,Table1[],4,0),"")</f>
        <v/>
      </c>
      <c r="D39" s="369" t="str">
        <f>IFERROR(VLOOKUP(A39,Sheet1!$A$2:$E$25,5,0),"")</f>
        <v/>
      </c>
      <c r="E39" s="361" t="str">
        <f>IFERROR(VLOOKUP(A39,Table1[],6,0),"")</f>
        <v/>
      </c>
      <c r="F39" s="361" t="str">
        <f>IFERROR(VLOOKUP(A39,Table1[],7,0),"")</f>
        <v/>
      </c>
      <c r="G39" s="362"/>
      <c r="H39" s="363"/>
    </row>
    <row r="40" spans="1:8" ht="30">
      <c r="A40" s="359">
        <v>7</v>
      </c>
      <c r="B40" s="622" t="s">
        <v>450</v>
      </c>
      <c r="C40" s="335" t="str">
        <f>IFERROR(VLOOKUP(A40,Table1[],4,0),"")</f>
        <v xml:space="preserve">TB O-4(M): Rata succesului tratamentului pacienților cu RR TB și/sau MDR-TB </v>
      </c>
      <c r="D40" s="341" t="str">
        <f>IFERROR(VLOOKUP(A40,Sheet1!$A$2:$E$25,5,0),"")</f>
        <v>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v>
      </c>
      <c r="E40" s="336" t="str">
        <f>IFERROR(VLOOKUP(A40,Table1[],6,0),"")</f>
        <v xml:space="preserve">Colectat trimestrial și anual </v>
      </c>
      <c r="F40" s="336" t="str">
        <f>IFERROR(VLOOKUP(A40,Table1[],7,0),"")</f>
        <v>Sistemul R&amp;R TB; Rapoarte trimestriale; SYME TB</v>
      </c>
      <c r="G40" s="339"/>
      <c r="H40" s="340"/>
    </row>
    <row r="41" spans="1:8" ht="42.75">
      <c r="A41" s="359">
        <v>8</v>
      </c>
      <c r="B41" s="622"/>
      <c r="C41" s="335" t="str">
        <f>IFERROR(VLOOKUP(A41,Table1[],4,0),"")</f>
        <v>TB O-1a: Rata de notificare a cazurilor de tuberculoză (toate formele) per 100,000 populație</v>
      </c>
      <c r="D41" s="341" t="str">
        <f>IFERROR(VLOOKUP(A41,Sheet1!$A$2:$E$25,5,0),"")</f>
        <v>Numărător: Toate cazurile de tuberculoză (bacteriologic confirmate și diagnosticate clinic, cazuri noi și recidive) notificate către autoritatea națională într-o perioadă anumită de timp per 100,000 populație.
Numitor: Numărul total al populației în țară.</v>
      </c>
      <c r="E41" s="336" t="str">
        <f>IFERROR(VLOOKUP(A41,Table1[],6,0),"")</f>
        <v xml:space="preserve">Colectat trimestrial și anual </v>
      </c>
      <c r="F41" s="336" t="str">
        <f>IFERROR(VLOOKUP(A41,Table1[],7,0),"")</f>
        <v>Sistemul R&amp;R TB; Rapoarte trimestriale; SYME TB</v>
      </c>
      <c r="G41" s="339"/>
      <c r="H41" s="340"/>
    </row>
    <row r="42" spans="1:8" ht="57">
      <c r="A42" s="359">
        <v>9</v>
      </c>
      <c r="B42" s="622"/>
      <c r="C42" s="335" t="str">
        <f>IFERROR(VLOOKUP(A42,Table1[],4,0),"")</f>
        <v>TB O-5(M): Rata de acoperire cu tratament antituberculos</v>
      </c>
      <c r="D42" s="341" t="str">
        <f>IFERROR(VLOOKUP(A42,Sheet1!$A$2:$E$25,5,0),"")</f>
        <v>Numărător: Number de cazuri noi și recidive notificate și acoperite cu tratament, during specified period of time.
Numitor: Numărul estimat de cazuri TB din același an (toate formele TB - bacteriologic confirmate și diagnosticate clinic), din baza de date a OMS (WHO Global TB).</v>
      </c>
      <c r="E42" s="336" t="str">
        <f>IFERROR(VLOOKUP(A42,Table1[],6,0),"")</f>
        <v xml:space="preserve">Colectat anual </v>
      </c>
      <c r="F42" s="336" t="str">
        <f>IFERROR(VLOOKUP(A42,Table1[],7,0),"")</f>
        <v>Sistemul R&amp;R TB; Rapoarte trimestriale; SYME TB
Date estimative ale OMS (WHO Global TB)</v>
      </c>
      <c r="G42" s="339"/>
      <c r="H42" s="338"/>
    </row>
    <row r="43" spans="1:8" ht="57">
      <c r="A43" s="359">
        <v>10</v>
      </c>
      <c r="B43" s="622"/>
      <c r="C43" s="335" t="str">
        <f>IFERROR(VLOOKUP(A43,Table1[],4,0),"")</f>
        <v xml:space="preserve">HIV O-1 (M): Procentul adulţilor şi copiilor HIV infectaţi care se află în tratament 12 luni după iniţierea tratamentului antiretroviral </v>
      </c>
      <c r="D43" s="341" t="str">
        <f>IFERROR(VLOOKUP(A43,Sheet1!$A$2:$E$25,5,0),"")</f>
        <v xml:space="preserve">Numărător: Numărul adulților și copiilor care sunt în viață și în terapie ARV 12 luni după inițierea tratamentului.
Numitor: Numărul total de adulți ăi copii care în perioada de raportare au facut 12 luni de la inițierea TARV.                                                                         
</v>
      </c>
      <c r="E43" s="336" t="str">
        <f>IFERROR(VLOOKUP(A43,Table1[],6,0),"")</f>
        <v xml:space="preserve">Colectat anual </v>
      </c>
      <c r="F43" s="336" t="str">
        <f>IFERROR(VLOOKUP(A43,Table1[],7,0),"")</f>
        <v>Registrele pacienților în TARV (Centrele TARV)</v>
      </c>
      <c r="G43" s="337"/>
      <c r="H43" s="338"/>
    </row>
    <row r="44" spans="1:8" ht="30">
      <c r="A44" s="359">
        <v>11</v>
      </c>
      <c r="B44" s="622"/>
      <c r="C44" s="335" t="str">
        <f>IFERROR(VLOOKUP(A44,Table1[],4,0),"")</f>
        <v>HIV O-4a (M): Procentul BSB care raportează utilizarea prezervativului în timpul ultimului act de sex anal cu partenerul de gen masculin</v>
      </c>
      <c r="D44" s="341" t="str">
        <f>IFERROR(VLOOKUP(A44,Sheet1!$A$2:$E$25,5,0),"")</f>
        <v xml:space="preserve">Numărător: Numărul de respondenți care au raportat utilizarea prezervativului în timpul ultimului act de sex anal.                                                       
Numitor: Numărul de respondenți care au raportat practicarea sexului anal în ultimele 6 luni.                                                                                      </v>
      </c>
      <c r="E44" s="336" t="str">
        <f>IFERROR(VLOOKUP(A44,Table1[],6,0),"")</f>
        <v>Studiu Bio-comportamental (BSS)</v>
      </c>
      <c r="F44" s="336" t="str">
        <f>IFERROR(VLOOKUP(A44,Table1[],7,0),"")</f>
        <v>BSS. Data de raportare - 31 August 2020</v>
      </c>
      <c r="G44" s="337"/>
      <c r="H44" s="338"/>
    </row>
    <row r="45" spans="1:8" ht="30">
      <c r="A45" s="359">
        <v>12</v>
      </c>
      <c r="B45" s="622"/>
      <c r="C45" s="335" t="str">
        <f>IFERROR(VLOOKUP(A45,Table1[],4,0),"")</f>
        <v>HIV O-5 (M): Procentul LSC care raportează utilizarea prezervativului cu ultimul lor client</v>
      </c>
      <c r="D45" s="341" t="str">
        <f>IFERROR(VLOOKUP(A45,Sheet1!$A$2:$E$25,5,0),"")</f>
        <v xml:space="preserve">Numărător: Numărul de respondenți care au raportat utilizarea prezervativului cu ultimul lor client.
Numitor: Numărul de respondenți care au raportat practicarea sexului comercial în ultimele 12 luni.                                                             </v>
      </c>
      <c r="E45" s="336" t="str">
        <f>IFERROR(VLOOKUP(A45,Table1[],6,0),"")</f>
        <v>Studiu Bio-comportamental (BSS)</v>
      </c>
      <c r="F45" s="336" t="str">
        <f>IFERROR(VLOOKUP(A45,Table1[],7,0),"")</f>
        <v>BSS. Data de raportare - 31 August 2020</v>
      </c>
      <c r="G45" s="337"/>
      <c r="H45" s="338"/>
    </row>
    <row r="46" spans="1:8" ht="30">
      <c r="A46" s="359">
        <v>13</v>
      </c>
      <c r="B46" s="412"/>
      <c r="C46" s="335" t="str">
        <f>IFERROR(VLOOKUP(A46,Table1[],4,0),"")</f>
        <v>HIV O-6 (M): Procentul consumatorilor de droguri injectabile care raportează utilizarea setului pentru injectare steril la ultima injectare</v>
      </c>
      <c r="D46" s="341" t="str">
        <f>IFERROR(VLOOKUP(A46,Sheet1!$A$2:$E$25,5,0),"")</f>
        <v xml:space="preserve">Numărător: Numărul de respondenți care au raportat utilizarea setului pentru injectare steril, la ultima consumare de droguri injectabile.
Numitor: Numărul de respondenți care au raportat consumarea de droguri injectabile în ultima lună.                                                                                    </v>
      </c>
      <c r="E46" s="336" t="str">
        <f>IFERROR(VLOOKUP(A46,Table1[],6,0),"")</f>
        <v>Studiu Bio-comportamental (BSS)</v>
      </c>
      <c r="F46" s="336" t="str">
        <f>IFERROR(VLOOKUP(A46,Table1[],7,0),"")</f>
        <v>BSS. Data de raportare - 31 August 2020</v>
      </c>
      <c r="G46" s="337"/>
      <c r="H46" s="338"/>
    </row>
    <row r="47" spans="1:8" ht="15.75">
      <c r="B47" s="141"/>
      <c r="C47" s="368" t="str">
        <f>IFERROR(VLOOKUP(A47,Table1[],4,0),"")</f>
        <v/>
      </c>
      <c r="D47" s="369" t="str">
        <f>IFERROR(VLOOKUP(A47,Sheet1!$A$2:$E$25,5,0),"")</f>
        <v/>
      </c>
      <c r="E47" s="361" t="str">
        <f>IFERROR(VLOOKUP(A47,Table1[],6,0),"")</f>
        <v/>
      </c>
      <c r="F47" s="361" t="str">
        <f>IFERROR(VLOOKUP(A47,Table1[],7,0),"")</f>
        <v/>
      </c>
      <c r="G47" s="362"/>
      <c r="H47" s="363"/>
    </row>
    <row r="48" spans="1:8" ht="57">
      <c r="A48" s="359">
        <v>14</v>
      </c>
      <c r="B48" s="622" t="s">
        <v>458</v>
      </c>
      <c r="C48" s="335" t="str">
        <f>IFERROR(VLOOKUP(A48,Table1[],4,0),"")</f>
        <v>MDR TB-2(M): Numărul cazurilor de TB DR (RR-TB și/sau MDR-TB), confirmate bacteriologic, notificate</v>
      </c>
      <c r="D48" s="341" t="str">
        <f>IFERROR(VLOOKUP(A48,Sheet1!$A$2:$E$25,5,0),"")</f>
        <v xml:space="preserve">Numărător: Numărul de cazuri de TB DR (RR-TB și/sau MDR-TB), confirmate bacteriologic, notificate către autoritatea națională, în perioada raportată.                                                                                              Numitor: Nu este   </v>
      </c>
      <c r="E48" s="336" t="str">
        <f>IFERROR(VLOOKUP(A48,Table1[],6,0),"")</f>
        <v xml:space="preserve">Colectat anual </v>
      </c>
      <c r="F48" s="336" t="str">
        <f>IFERROR(VLOOKUP(A48,Table1[],7,0),"")</f>
        <v xml:space="preserve">Sistemul R&amp;R TB; Rapoarte anuale; Supraveghere de rutină a DR (Drog Rezistenței); SYME TB
</v>
      </c>
      <c r="G48" s="339"/>
      <c r="H48" s="340"/>
    </row>
    <row r="49" spans="1:8" ht="45">
      <c r="A49" s="359">
        <v>15</v>
      </c>
      <c r="B49" s="622"/>
      <c r="C49" s="335" t="str">
        <f>IFERROR(VLOOKUP(A49,Table1[],4,0),"")</f>
        <v xml:space="preserve">MDR TB-3(M): Numărul cazurilor cu tuberculoză drog-rezistentă (RR-TB și/sau MDR-TB), confirmate bacteriologic, care au demarat tratamentul DOTS-Plus în perioada raportată                </v>
      </c>
      <c r="D49" s="341" t="str">
        <f>IFERROR(VLOOKUP(A49,Sheet1!$A$2:$E$25,5,0),"")</f>
        <v xml:space="preserve">Numărător: Numărul cazurilor cu tuberculoză drog-rezistentă (RR-TB și/sau MDR-TB), confirmate bacteriologic, care au demarat tratamentul DOTS-Plus în perioada raportată.
Numitor: Nu este   </v>
      </c>
      <c r="E49" s="336" t="str">
        <f>IFERROR(VLOOKUP(A49,Table1[],6,0),"")</f>
        <v xml:space="preserve">Colectat anual </v>
      </c>
      <c r="F49" s="336" t="str">
        <f>IFERROR(VLOOKUP(A49,Table1[],7,0),"")</f>
        <v xml:space="preserve">Sistemul R&amp;R TB; Rapoarte trimestriale; SYME TB; Modul DOTS Plus </v>
      </c>
      <c r="G49" s="339"/>
      <c r="H49" s="340"/>
    </row>
    <row r="50" spans="1:8" ht="42.75">
      <c r="A50" s="359">
        <v>16</v>
      </c>
      <c r="B50" s="622"/>
      <c r="C50" s="335" t="str">
        <f>IFERROR(VLOOKUP(A50,Table1[],4,0),"")</f>
        <v>MDR TB-4: Rezultatul interimar de abandon al tratamentului cazurilor MDR-TB</v>
      </c>
      <c r="D50" s="341" t="str">
        <f>IFERROR(VLOOKUP(A50,Sheet1!$A$2:$E$25,5,0),"")</f>
        <v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v>
      </c>
      <c r="E50" s="336" t="str">
        <f>IFERROR(VLOOKUP(A50,Table1[],6,0),"")</f>
        <v xml:space="preserve">Colectat anual </v>
      </c>
      <c r="F50" s="336" t="str">
        <f>IFERROR(VLOOKUP(A50,Table1[],7,0),"")</f>
        <v>Sistemul R&amp;R TB; Rapoarte trimestriale/ anuale; Rapoarte NTP; SYME TB; Modul DOTS Plus</v>
      </c>
      <c r="G50" s="339"/>
      <c r="H50" s="340"/>
    </row>
    <row r="51" spans="1:8" ht="42.75">
      <c r="A51" s="359">
        <v>17</v>
      </c>
      <c r="B51" s="622"/>
      <c r="C51" s="335" t="str">
        <f>IFERROR(VLOOKUP(A51,Table1[],4,0),"")</f>
        <v>MDR TB-8: Numărul cazurilor de XDR TB incluși în tratament în perioada raportată</v>
      </c>
      <c r="D51" s="341" t="str">
        <f>IFERROR(VLOOKUP(A51,Sheet1!$A$2:$E$25,5,0),"")</f>
        <v xml:space="preserve">Numărător: Numărul cazurilor de XDR TB incluși în tratament în perioada raportată.                                    Numitor: Nu este                                                            </v>
      </c>
      <c r="E51" s="336" t="str">
        <f>IFERROR(VLOOKUP(A51,Table1[],6,0),"")</f>
        <v xml:space="preserve">Colectat anual </v>
      </c>
      <c r="F51" s="336" t="str">
        <f>IFERROR(VLOOKUP(A51,Table1[],7,0),"")</f>
        <v>Sistemul R&amp;R TB; Rapoarte trimestriale/ anuale; Rapoarte NTP; SYME TB; Modul DOTS Plus</v>
      </c>
      <c r="G51" s="337"/>
      <c r="H51" s="338"/>
    </row>
    <row r="52" spans="1:8" ht="57">
      <c r="A52" s="359">
        <v>18</v>
      </c>
      <c r="B52" s="622"/>
      <c r="C52" s="335" t="str">
        <f>IFERROR(VLOOKUP(A52,Table1[],4,0),"")</f>
        <v xml:space="preserve">KP-1d(M): Procentul consumatorilor de droguri injectabile acoperiți de programele de prevenire HIV - pachet definit de servicii </v>
      </c>
      <c r="D52" s="341" t="str">
        <f>IFERROR(VLOOKUP(A52,Sheet1!$A$2:$E$25,5,0),"")</f>
        <v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v>
      </c>
      <c r="E52" s="336" t="str">
        <f>IFERROR(VLOOKUP(A52,Table1[],6,0),"")</f>
        <v xml:space="preserve">Colectat anual </v>
      </c>
      <c r="F52" s="336" t="str">
        <f>IFERROR(VLOOKUP(A52,Table1[],7,0),"")</f>
        <v xml:space="preserve">Forme de raportare ONG, bazate pe IDU Ident  
</v>
      </c>
      <c r="G52" s="337"/>
      <c r="H52" s="338"/>
    </row>
    <row r="53" spans="1:8" ht="42.75">
      <c r="A53" s="359">
        <v>19</v>
      </c>
      <c r="B53" s="622"/>
      <c r="C53" s="335" t="str">
        <f>IFERROR(VLOOKUP(A53,Table1[],4,0),"")</f>
        <v>KP-3d(M): Procentul consumatorilor de droguri injectabile care au fost testați pentru HIV în perioada de raportare și își cunosc rezultatele</v>
      </c>
      <c r="D53" s="341" t="str">
        <f>IFERROR(VLOOKUP(A53,Sheet1!$A$2:$E$25,5,0),"")</f>
        <v xml:space="preserve">Numărător: Numărul de CDI respondenți, care au fost testați pentru HIV în perioada de raportare și își cunosc rezultatele.
Numitor: Numărul estimat de CDI în Rep. Moldova.      
</v>
      </c>
      <c r="E53" s="336" t="str">
        <f>IFERROR(VLOOKUP(A53,Table1[],6,0),"")</f>
        <v xml:space="preserve">Colectat anual </v>
      </c>
      <c r="F53" s="336" t="str">
        <f>IFERROR(VLOOKUP(A53,Table1[],7,0),"")</f>
        <v xml:space="preserve">Forme de raportare ONG, bazate pe IDU Ident  
</v>
      </c>
      <c r="G53" s="337"/>
      <c r="H53" s="338"/>
    </row>
    <row r="54" spans="1:8" ht="77.25" customHeight="1">
      <c r="A54" s="359">
        <v>20</v>
      </c>
      <c r="B54" s="622"/>
      <c r="C54" s="335" t="str">
        <f>IFERROR(VLOOKUP(A54,Table1[],4,0),"")</f>
        <v xml:space="preserve">KP-1c(M): Procentul LSC acoperiți de programele de prevenire HIV - pachet definit de servicii </v>
      </c>
      <c r="D54" s="341" t="str">
        <f>IFERROR(VLOOKUP(A54,Sheet1!$A$2:$E$25,5,0),"")</f>
        <v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v>
      </c>
      <c r="E54" s="336" t="str">
        <f>IFERROR(VLOOKUP(A54,Table1[],6,0),"")</f>
        <v xml:space="preserve">Colectat anual </v>
      </c>
      <c r="F54" s="336" t="str">
        <f>IFERROR(VLOOKUP(A54,Table1[],7,0),"")</f>
        <v xml:space="preserve">Forme de raportare ONG, bazate pe IDU Ident  
</v>
      </c>
      <c r="G54" s="337"/>
      <c r="H54" s="338"/>
    </row>
    <row r="55" spans="1:8" ht="42.75">
      <c r="A55" s="359">
        <v>21</v>
      </c>
      <c r="B55" s="622"/>
      <c r="C55" s="335" t="str">
        <f>IFERROR(VLOOKUP(A55,Table1[],4,0),"")</f>
        <v>KP-3c(M): Procentul LSC care au fost testați pentru HIV în perioada de raportare și își cunosc rezultatele</v>
      </c>
      <c r="D55" s="341" t="str">
        <f>IFERROR(VLOOKUP(A55,Sheet1!$A$2:$E$25,5,0),"")</f>
        <v xml:space="preserve">Numărător: Numărul de LSC care au fost testați pentru HIV în perioada de raportare și își cunosc rezultatele.                                                                                                                                                             Numitor: Numărul estimat de LSC în Rep. Moldova.                                                           </v>
      </c>
      <c r="E55" s="336" t="str">
        <f>IFERROR(VLOOKUP(A55,Table1[],6,0),"")</f>
        <v xml:space="preserve">Colectat anual </v>
      </c>
      <c r="F55" s="336" t="str">
        <f>IFERROR(VLOOKUP(A55,Table1[],7,0),"")</f>
        <v xml:space="preserve">Forme de raportare ONG, bazate pe IDU Ident  
</v>
      </c>
      <c r="G55" s="337"/>
      <c r="H55" s="338"/>
    </row>
    <row r="56" spans="1:8" ht="57">
      <c r="A56" s="359">
        <v>22</v>
      </c>
      <c r="B56" s="622"/>
      <c r="C56" s="335" t="str">
        <f>IFERROR(VLOOKUP(A56,Table1[],4,0),"")</f>
        <v xml:space="preserve">KP-1a(M): Procentul BSB acoperiți de programele de prevenire HIV - pachet definit de servicii </v>
      </c>
      <c r="D56" s="341" t="str">
        <f>IFERROR(VLOOKUP(A56,Sheet1!$A$2:$E$25,5,0),"")</f>
        <v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v>
      </c>
      <c r="E56" s="336" t="str">
        <f>IFERROR(VLOOKUP(A56,Table1[],6,0),"")</f>
        <v xml:space="preserve">Colectat anual </v>
      </c>
      <c r="F56" s="336" t="str">
        <f>IFERROR(VLOOKUP(A56,Table1[],7,0),"")</f>
        <v xml:space="preserve">Forme de raportare ONG, bazate pe IDU Ident
</v>
      </c>
      <c r="G56" s="337"/>
      <c r="H56" s="338"/>
    </row>
    <row r="57" spans="1:8" ht="42.75">
      <c r="A57" s="359">
        <v>23</v>
      </c>
      <c r="B57" s="622"/>
      <c r="C57" s="335" t="str">
        <f>IFERROR(VLOOKUP(A57,Table1[],4,0),"")</f>
        <v>KP-3a(M): Procentul BSB care au fost testați pentru HIV în perioada de raportare și își cunosc rezultatele</v>
      </c>
      <c r="D57" s="341" t="str">
        <f>IFERROR(VLOOKUP(A57,Sheet1!$A$2:$E$25,5,0),"")</f>
        <v xml:space="preserve">Numărător: Numărul de BSB care au fost testați pentru HIV în perioada de raportare și își cunosc rezultatele.
Numitor: Numărul estimat de BSB în Rep. Moldova.   
</v>
      </c>
      <c r="E57" s="336" t="str">
        <f>IFERROR(VLOOKUP(A57,Table1[],6,0),"")</f>
        <v xml:space="preserve">Colectat anual </v>
      </c>
      <c r="F57" s="336" t="str">
        <f>IFERROR(VLOOKUP(A57,Table1[],7,0),"")</f>
        <v xml:space="preserve">Forme de raportare ONG, bazate pe IDU Ident  
</v>
      </c>
      <c r="G57" s="337"/>
      <c r="H57" s="338"/>
    </row>
    <row r="58" spans="1:8" ht="57">
      <c r="A58" s="359">
        <v>24</v>
      </c>
      <c r="B58" s="622"/>
      <c r="C58" s="335" t="str">
        <f>IFERROR(VLOOKUP(A58,Table1[],4,0),"")</f>
        <v xml:space="preserve">TCS-1 (M): Procentul adulţilor şi copiilor care trăiesc cu HIV și urmează tratament antiretroviral </v>
      </c>
      <c r="D58" s="341" t="str">
        <f>IFERROR(VLOOKUP(A58,Sheet1!$A$2:$E$25,5,0),"")</f>
        <v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v>
      </c>
      <c r="E58" s="413" t="str">
        <f>IFERROR(VLOOKUP(A58,Table1[],6,0),"")</f>
        <v xml:space="preserve">Colectat anual </v>
      </c>
      <c r="F58" s="336" t="str">
        <f>IFERROR(VLOOKUP(A58,Table1[],7,0),"")</f>
        <v>Registrele pacienților în TARV (Centrele TARV)</v>
      </c>
      <c r="G58" s="337"/>
      <c r="H58" s="338"/>
    </row>
    <row r="59" spans="1:8" ht="15.75">
      <c r="C59" s="372" t="s">
        <v>234</v>
      </c>
      <c r="D59" s="373" t="s">
        <v>216</v>
      </c>
      <c r="E59" s="373" t="s">
        <v>217</v>
      </c>
      <c r="F59" s="373" t="s">
        <v>218</v>
      </c>
      <c r="G59" s="374"/>
      <c r="H59" s="375"/>
    </row>
    <row r="60" spans="1:8" ht="15.75">
      <c r="C60" s="138"/>
      <c r="D60" s="331"/>
      <c r="E60" s="331"/>
      <c r="F60" s="330"/>
      <c r="G60" s="331"/>
      <c r="H60" s="332"/>
    </row>
    <row r="61" spans="1:8" ht="31.5">
      <c r="C61" s="370" t="s">
        <v>233</v>
      </c>
      <c r="D61" s="371"/>
      <c r="E61" s="371"/>
      <c r="F61" s="364" t="s">
        <v>228</v>
      </c>
      <c r="G61" s="365"/>
      <c r="H61" s="366"/>
    </row>
  </sheetData>
  <sheetProtection sheet="1" objects="1" scenarios="1"/>
  <mergeCells count="3">
    <mergeCell ref="B48:B58"/>
    <mergeCell ref="B40:B45"/>
    <mergeCell ref="B33:B38"/>
  </mergeCells>
  <phoneticPr fontId="23" type="noConversion"/>
  <pageMargins left="0.70866141732283472" right="0.70866141732283472" top="0.74803149606299213" bottom="0.74803149606299213" header="0.31496062992125984" footer="0.31496062992125984"/>
  <pageSetup paperSize="9" scale="37"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79"/>
  <sheetViews>
    <sheetView showGridLines="0" topLeftCell="A85" zoomScale="80" zoomScaleNormal="80" zoomScaleSheetLayoutView="75" workbookViewId="0">
      <selection activeCell="P157" sqref="P157"/>
    </sheetView>
  </sheetViews>
  <sheetFormatPr defaultColWidth="11" defaultRowHeight="15"/>
  <cols>
    <col min="1" max="1" width="5.140625" style="415" customWidth="1"/>
    <col min="2" max="2" width="53" style="3" customWidth="1"/>
    <col min="3" max="3" width="23" style="3" customWidth="1"/>
    <col min="4" max="4" width="19.140625" style="3" customWidth="1"/>
    <col min="5" max="5" width="18.7109375" style="3" customWidth="1"/>
    <col min="6" max="6" width="17.42578125" style="3" customWidth="1"/>
    <col min="7" max="7" width="16.42578125" style="3" customWidth="1"/>
    <col min="8" max="8" width="15.85546875" style="3" customWidth="1"/>
    <col min="9" max="9" width="11.85546875" style="3" customWidth="1"/>
    <col min="10" max="10" width="13.28515625" style="3" customWidth="1"/>
    <col min="11" max="11" width="12" style="3" customWidth="1"/>
    <col min="12" max="12" width="15.28515625" style="3" customWidth="1"/>
    <col min="13" max="13" width="15.42578125" style="3" customWidth="1"/>
    <col min="14" max="14" width="14.28515625" style="238" customWidth="1"/>
    <col min="15" max="15" width="20.42578125" style="238" customWidth="1"/>
    <col min="16" max="16" width="19.42578125" style="3" customWidth="1"/>
    <col min="17" max="17" width="16.140625" style="3" customWidth="1"/>
    <col min="18" max="18" width="13.7109375" style="3" customWidth="1"/>
    <col min="19" max="19" width="13.42578125" style="3" customWidth="1"/>
    <col min="20" max="20" width="14.85546875" style="3" customWidth="1"/>
    <col min="21" max="21" width="16" style="3" customWidth="1"/>
    <col min="22" max="22" width="11.42578125" style="3" hidden="1" customWidth="1"/>
    <col min="23" max="23" width="15.5703125" style="3" customWidth="1"/>
    <col min="24" max="24" width="11.42578125" style="3" customWidth="1"/>
    <col min="25" max="25" width="2.28515625" style="3" customWidth="1"/>
    <col min="26" max="26" width="1.140625" style="3" customWidth="1"/>
    <col min="27" max="27" width="3.28515625" style="3" customWidth="1"/>
    <col min="28" max="28" width="17" style="3" customWidth="1"/>
    <col min="29" max="29" width="15" style="3" customWidth="1"/>
    <col min="30" max="30" width="11.42578125" style="3" customWidth="1"/>
    <col min="31" max="31" width="13.5703125" style="3" customWidth="1"/>
    <col min="32" max="32" width="16.85546875" style="3" customWidth="1"/>
    <col min="33" max="33" width="11.42578125" style="3" customWidth="1"/>
    <col min="34" max="34" width="2" style="238" customWidth="1"/>
    <col min="35" max="35" width="3.28515625" style="238" customWidth="1"/>
    <col min="36" max="36" width="2.28515625" style="238" customWidth="1"/>
    <col min="37" max="37" width="40.7109375" style="3" customWidth="1"/>
    <col min="38" max="38" width="15.42578125" style="3" customWidth="1"/>
    <col min="39" max="16384" width="11" style="3"/>
  </cols>
  <sheetData>
    <row r="1" spans="1:13" ht="29.25" customHeight="1"/>
    <row r="2" spans="1:13" ht="15.75" customHeight="1">
      <c r="B2" s="633" t="s">
        <v>278</v>
      </c>
      <c r="C2" s="633"/>
      <c r="D2" s="633"/>
      <c r="E2" s="633"/>
      <c r="F2" s="633"/>
      <c r="G2" s="633"/>
      <c r="H2" s="633"/>
      <c r="I2" s="633"/>
      <c r="J2" s="633"/>
      <c r="K2" s="156"/>
      <c r="L2" s="156"/>
      <c r="M2" s="156"/>
    </row>
    <row r="3" spans="1:13" ht="4.5" customHeight="1"/>
    <row r="4" spans="1:13" ht="34.5" customHeight="1">
      <c r="B4" s="420" t="s">
        <v>279</v>
      </c>
      <c r="C4" s="634" t="s">
        <v>155</v>
      </c>
      <c r="D4" s="635"/>
      <c r="E4" s="636" t="s">
        <v>283</v>
      </c>
      <c r="F4" s="636"/>
      <c r="G4" s="637" t="s">
        <v>431</v>
      </c>
      <c r="H4" s="638"/>
      <c r="I4" s="638"/>
      <c r="J4" s="639"/>
    </row>
    <row r="5" spans="1:13" ht="3" customHeight="1">
      <c r="B5" s="420"/>
      <c r="E5" s="157"/>
      <c r="F5" s="157"/>
    </row>
    <row r="6" spans="1:13">
      <c r="B6" s="420" t="s">
        <v>280</v>
      </c>
      <c r="C6" s="634" t="s">
        <v>430</v>
      </c>
      <c r="D6" s="635"/>
      <c r="E6" s="636" t="s">
        <v>284</v>
      </c>
      <c r="F6" s="636"/>
      <c r="G6" s="439" t="s">
        <v>50</v>
      </c>
      <c r="H6" s="420" t="s">
        <v>285</v>
      </c>
      <c r="I6" s="645">
        <v>11931624</v>
      </c>
      <c r="J6" s="646"/>
    </row>
    <row r="7" spans="1:13" ht="3" customHeight="1">
      <c r="B7" s="420"/>
      <c r="E7" s="157"/>
      <c r="F7" s="157"/>
      <c r="H7" s="420"/>
    </row>
    <row r="8" spans="1:13">
      <c r="B8" s="420" t="s">
        <v>281</v>
      </c>
      <c r="C8" s="634" t="s">
        <v>418</v>
      </c>
      <c r="D8" s="635"/>
      <c r="E8" s="158"/>
      <c r="F8" s="421" t="s">
        <v>286</v>
      </c>
      <c r="G8" s="440" t="s">
        <v>268</v>
      </c>
      <c r="H8" s="421" t="s">
        <v>287</v>
      </c>
      <c r="I8" s="634" t="s">
        <v>268</v>
      </c>
      <c r="J8" s="635"/>
    </row>
    <row r="9" spans="1:13" ht="3" customHeight="1">
      <c r="B9" s="157"/>
      <c r="E9" s="157"/>
      <c r="F9" s="157"/>
    </row>
    <row r="10" spans="1:13">
      <c r="B10" s="420" t="s">
        <v>366</v>
      </c>
      <c r="C10" s="642">
        <v>43101</v>
      </c>
      <c r="D10" s="643"/>
      <c r="E10" s="644" t="s">
        <v>288</v>
      </c>
      <c r="F10" s="667"/>
      <c r="G10" s="634" t="s">
        <v>37</v>
      </c>
      <c r="H10" s="648"/>
      <c r="I10" s="648"/>
      <c r="J10" s="635"/>
    </row>
    <row r="11" spans="1:13" ht="5.25" customHeight="1"/>
    <row r="12" spans="1:13" ht="15" customHeight="1">
      <c r="B12" s="420" t="s">
        <v>282</v>
      </c>
      <c r="C12" s="649" t="s">
        <v>268</v>
      </c>
      <c r="D12" s="649"/>
      <c r="E12" s="644" t="s">
        <v>231</v>
      </c>
      <c r="F12" s="636"/>
      <c r="G12" s="647" t="s">
        <v>419</v>
      </c>
      <c r="H12" s="647"/>
      <c r="I12" s="647"/>
      <c r="J12" s="647"/>
    </row>
    <row r="13" spans="1:13" ht="5.25" customHeight="1"/>
    <row r="14" spans="1:13" ht="15.75" customHeight="1">
      <c r="B14" s="633" t="s">
        <v>289</v>
      </c>
      <c r="C14" s="633"/>
      <c r="D14" s="633"/>
      <c r="E14" s="633"/>
      <c r="F14" s="633"/>
      <c r="G14" s="633"/>
      <c r="H14" s="633"/>
      <c r="I14" s="633"/>
      <c r="J14" s="633"/>
    </row>
    <row r="15" spans="1:13" ht="12" customHeight="1"/>
    <row r="16" spans="1:13" s="238" customFormat="1" ht="30" customHeight="1">
      <c r="A16" s="416"/>
      <c r="B16" s="239" t="s">
        <v>290</v>
      </c>
      <c r="C16" s="616" t="s">
        <v>61</v>
      </c>
      <c r="D16" s="273" t="s">
        <v>291</v>
      </c>
      <c r="E16" s="333">
        <f>VLOOKUP(C16,Setup!$F$8:$H$21,2,0)</f>
        <v>43282</v>
      </c>
      <c r="F16" s="274" t="s">
        <v>292</v>
      </c>
      <c r="G16" s="333">
        <f>VLOOKUP(C16,Setup!$F$8:$H$21,3,0)</f>
        <v>43465</v>
      </c>
      <c r="H16" s="640" t="s">
        <v>408</v>
      </c>
      <c r="I16" s="641"/>
      <c r="J16" s="329">
        <v>43353</v>
      </c>
    </row>
    <row r="17" spans="2:35" ht="3" customHeight="1"/>
    <row r="18" spans="2:35">
      <c r="B18" s="666" t="s">
        <v>369</v>
      </c>
      <c r="C18" s="667"/>
      <c r="D18" s="668" t="s">
        <v>418</v>
      </c>
      <c r="E18" s="668"/>
      <c r="F18" s="668"/>
      <c r="G18" s="159"/>
      <c r="H18" s="159"/>
      <c r="I18" s="159"/>
      <c r="J18" s="159"/>
    </row>
    <row r="19" spans="2:35" ht="30" customHeight="1"/>
    <row r="20" spans="2:35" ht="21" customHeight="1"/>
    <row r="21" spans="2:35" ht="15.75" customHeight="1">
      <c r="B21" s="633" t="s">
        <v>293</v>
      </c>
      <c r="C21" s="633"/>
      <c r="D21" s="633"/>
      <c r="E21" s="633"/>
      <c r="F21" s="633"/>
      <c r="G21" s="633"/>
      <c r="H21" s="633"/>
      <c r="I21" s="633"/>
      <c r="J21" s="633"/>
    </row>
    <row r="22" spans="2:35">
      <c r="B22" s="157" t="s">
        <v>410</v>
      </c>
      <c r="E22" s="160"/>
      <c r="F22" s="160"/>
      <c r="I22" s="160"/>
      <c r="J22" s="160"/>
    </row>
    <row r="23" spans="2:35" ht="3" customHeight="1"/>
    <row r="24" spans="2:35" ht="15.75" thickBot="1">
      <c r="B24" s="420" t="s">
        <v>294</v>
      </c>
      <c r="C24" s="205"/>
      <c r="D24" s="636" t="s">
        <v>295</v>
      </c>
      <c r="E24" s="636"/>
      <c r="F24" s="206"/>
      <c r="G24" s="636" t="s">
        <v>296</v>
      </c>
      <c r="H24" s="636"/>
      <c r="I24" s="663"/>
      <c r="J24" s="664"/>
      <c r="N24" s="15"/>
    </row>
    <row r="25" spans="2:35" ht="26.25" customHeight="1" thickBot="1">
      <c r="B25" s="56" t="s">
        <v>294</v>
      </c>
      <c r="C25" s="57"/>
      <c r="D25" s="57"/>
      <c r="E25" s="57"/>
      <c r="F25" s="57"/>
      <c r="G25" s="57"/>
      <c r="H25" s="147"/>
      <c r="I25" s="58"/>
      <c r="J25" s="58"/>
      <c r="K25" s="147" t="s">
        <v>409</v>
      </c>
      <c r="L25" s="57"/>
      <c r="M25" s="57"/>
      <c r="N25" s="212"/>
      <c r="O25" s="60"/>
      <c r="AI25" s="76"/>
    </row>
    <row r="26" spans="2:35">
      <c r="B26" s="655" t="s">
        <v>297</v>
      </c>
      <c r="C26" s="656"/>
      <c r="D26" s="441" t="s">
        <v>2</v>
      </c>
      <c r="E26" s="60"/>
      <c r="F26" s="60"/>
      <c r="G26" s="60"/>
      <c r="H26" s="60"/>
      <c r="I26" s="60"/>
      <c r="J26" s="61"/>
      <c r="K26" s="60"/>
      <c r="L26" s="60"/>
      <c r="M26" s="60"/>
      <c r="N26" s="60"/>
      <c r="O26" s="60"/>
      <c r="AI26" s="76"/>
    </row>
    <row r="27" spans="2:35" ht="18.75">
      <c r="B27" s="59" t="s">
        <v>298</v>
      </c>
      <c r="C27" s="60"/>
      <c r="D27" s="60"/>
      <c r="E27" s="60"/>
      <c r="F27" s="60"/>
      <c r="G27" s="60"/>
      <c r="H27" s="60"/>
      <c r="I27" s="60"/>
      <c r="J27" s="61"/>
      <c r="K27" s="60"/>
      <c r="L27" s="60"/>
      <c r="M27" s="60"/>
      <c r="N27" s="60"/>
      <c r="O27" s="60"/>
      <c r="AI27" s="76"/>
    </row>
    <row r="28" spans="2:35" ht="15.75" thickBot="1">
      <c r="P28" s="238"/>
      <c r="Q28" s="238"/>
    </row>
    <row r="29" spans="2:35" ht="15.75" thickBot="1">
      <c r="B29" s="657" t="s">
        <v>302</v>
      </c>
      <c r="C29" s="658"/>
      <c r="D29" s="658"/>
      <c r="E29" s="658"/>
      <c r="F29" s="658"/>
      <c r="G29" s="658"/>
      <c r="H29" s="658"/>
      <c r="I29" s="658"/>
      <c r="J29" s="658"/>
      <c r="K29" s="658"/>
      <c r="L29" s="658"/>
      <c r="M29" s="658"/>
      <c r="N29" s="659"/>
      <c r="P29" s="442"/>
      <c r="Q29" s="266"/>
      <c r="R29" s="443">
        <f>+C33</f>
        <v>2030552.71</v>
      </c>
      <c r="S29" s="444"/>
    </row>
    <row r="30" spans="2:35">
      <c r="B30" s="62" t="s">
        <v>299</v>
      </c>
      <c r="C30" s="445" t="s">
        <v>60</v>
      </c>
      <c r="D30" s="445" t="s">
        <v>61</v>
      </c>
      <c r="E30" s="445" t="s">
        <v>62</v>
      </c>
      <c r="F30" s="445" t="s">
        <v>63</v>
      </c>
      <c r="G30" s="445" t="s">
        <v>70</v>
      </c>
      <c r="H30" s="445" t="s">
        <v>71</v>
      </c>
      <c r="I30" s="445" t="s">
        <v>72</v>
      </c>
      <c r="J30" s="445" t="s">
        <v>73</v>
      </c>
      <c r="K30" s="445" t="s">
        <v>74</v>
      </c>
      <c r="L30" s="445" t="s">
        <v>75</v>
      </c>
      <c r="M30" s="445" t="s">
        <v>76</v>
      </c>
      <c r="N30" s="446" t="s">
        <v>230</v>
      </c>
      <c r="O30" s="447" t="s">
        <v>305</v>
      </c>
      <c r="P30" s="442"/>
      <c r="Q30" s="266"/>
      <c r="R30" s="443">
        <f>+D33</f>
        <v>4014018.55</v>
      </c>
      <c r="S30" s="444"/>
    </row>
    <row r="31" spans="2:35">
      <c r="B31" s="154" t="str">
        <f>CONCATENATE("Buget (in ",'Introducerea datelor'!$D$26,")")</f>
        <v>Buget (in €)</v>
      </c>
      <c r="C31" s="275">
        <v>2030552.71</v>
      </c>
      <c r="D31" s="275">
        <v>1983465.84</v>
      </c>
      <c r="E31" s="201"/>
      <c r="F31" s="258"/>
      <c r="G31" s="201"/>
      <c r="H31" s="258"/>
      <c r="I31" s="258"/>
      <c r="J31" s="201"/>
      <c r="K31" s="201"/>
      <c r="L31" s="201"/>
      <c r="M31" s="201"/>
      <c r="N31" s="201"/>
      <c r="O31" s="700">
        <f>LOOKUP(2,1/(C34:N34&gt;0),C34:N34)/I6</f>
        <v>0.33637948446917199</v>
      </c>
      <c r="P31" s="448"/>
      <c r="Q31" s="266"/>
      <c r="R31" s="443">
        <f>+E33</f>
        <v>0</v>
      </c>
      <c r="S31" s="444"/>
    </row>
    <row r="32" spans="2:35">
      <c r="B32" s="62" t="str">
        <f>CONCATENATE("Debursări de către FG (in ", $D$26,")")</f>
        <v>Debursări de către FG (in €)</v>
      </c>
      <c r="C32" s="275">
        <v>2829411.8</v>
      </c>
      <c r="D32" s="275">
        <v>1184141.73</v>
      </c>
      <c r="E32" s="315"/>
      <c r="F32" s="316"/>
      <c r="G32" s="202"/>
      <c r="H32" s="259"/>
      <c r="I32" s="258"/>
      <c r="J32" s="201"/>
      <c r="K32" s="201"/>
      <c r="L32" s="201"/>
      <c r="M32" s="201"/>
      <c r="N32" s="201"/>
      <c r="O32" s="701"/>
      <c r="P32" s="442"/>
      <c r="Q32" s="266"/>
      <c r="R32" s="443">
        <f>+F33</f>
        <v>0</v>
      </c>
      <c r="S32" s="444"/>
    </row>
    <row r="33" spans="2:35">
      <c r="B33" s="63" t="s">
        <v>300</v>
      </c>
      <c r="C33" s="449">
        <f>C31</f>
        <v>2030552.71</v>
      </c>
      <c r="D33" s="260">
        <f>IF(AND(D31=0,D32=0),0,+C33+D31)</f>
        <v>4014018.55</v>
      </c>
      <c r="E33" s="260">
        <f t="shared" ref="E33:G33" si="0">IF(AND(E31=0,E32=0),0,+D33+E31)</f>
        <v>0</v>
      </c>
      <c r="F33" s="260">
        <f t="shared" si="0"/>
        <v>0</v>
      </c>
      <c r="G33" s="260">
        <f t="shared" si="0"/>
        <v>0</v>
      </c>
      <c r="H33" s="260">
        <f>IF(AND(H31=0,H32=0),0,+G33+H31)</f>
        <v>0</v>
      </c>
      <c r="I33" s="260">
        <f t="shared" ref="I33:N33" si="1">IF(AND(I31=0,I32=0),0,+H33+I31)</f>
        <v>0</v>
      </c>
      <c r="J33" s="203">
        <f t="shared" si="1"/>
        <v>0</v>
      </c>
      <c r="K33" s="203">
        <f t="shared" si="1"/>
        <v>0</v>
      </c>
      <c r="L33" s="203">
        <f t="shared" si="1"/>
        <v>0</v>
      </c>
      <c r="M33" s="203">
        <f t="shared" si="1"/>
        <v>0</v>
      </c>
      <c r="N33" s="203">
        <f t="shared" si="1"/>
        <v>0</v>
      </c>
      <c r="O33" s="701"/>
      <c r="P33" s="450"/>
      <c r="Q33" s="266"/>
      <c r="R33" s="443">
        <f>+G33</f>
        <v>0</v>
      </c>
      <c r="S33" s="444"/>
    </row>
    <row r="34" spans="2:35" ht="15.75" thickBot="1">
      <c r="B34" s="64" t="s">
        <v>301</v>
      </c>
      <c r="C34" s="276">
        <f>C32</f>
        <v>2829411.8</v>
      </c>
      <c r="D34" s="261">
        <f t="shared" ref="D34" si="2">IF(AND(D31=0,D32=0),0,+C34+D32)</f>
        <v>4013553.53</v>
      </c>
      <c r="E34" s="261">
        <f t="shared" ref="E34" si="3">IF(AND(E31=0,E32=0),0,+D34+E32)</f>
        <v>0</v>
      </c>
      <c r="F34" s="261">
        <f t="shared" ref="F34" si="4">IF(AND(F31=0,F32=0),0,+E34+F32)</f>
        <v>0</v>
      </c>
      <c r="G34" s="261">
        <f t="shared" ref="G34" si="5">IF(AND(G31=0,G32=0),0,+F34+G32)</f>
        <v>0</v>
      </c>
      <c r="H34" s="261">
        <f t="shared" ref="H34:N34" si="6">IF(AND(H31=0,H32=0),0,+G34+H32)</f>
        <v>0</v>
      </c>
      <c r="I34" s="261">
        <f t="shared" si="6"/>
        <v>0</v>
      </c>
      <c r="J34" s="204">
        <f t="shared" si="6"/>
        <v>0</v>
      </c>
      <c r="K34" s="204">
        <f t="shared" si="6"/>
        <v>0</v>
      </c>
      <c r="L34" s="204">
        <f t="shared" si="6"/>
        <v>0</v>
      </c>
      <c r="M34" s="204">
        <f t="shared" si="6"/>
        <v>0</v>
      </c>
      <c r="N34" s="204">
        <f t="shared" si="6"/>
        <v>0</v>
      </c>
      <c r="O34" s="702"/>
      <c r="P34" s="450"/>
      <c r="Q34" s="266"/>
      <c r="R34" s="443">
        <f>+H33</f>
        <v>0</v>
      </c>
      <c r="S34" s="444"/>
    </row>
    <row r="35" spans="2:35">
      <c r="C35" s="189">
        <f>+IF(AND(C30=$C$16,C33&lt;&gt;0),C34/C33,0)</f>
        <v>0</v>
      </c>
      <c r="D35" s="189">
        <f t="shared" ref="D35:N35" si="7">+IF(AND(D30=$C$16,D33&lt;&gt;0),D34/D33,0)</f>
        <v>0.99988415100871919</v>
      </c>
      <c r="E35" s="189">
        <f t="shared" si="7"/>
        <v>0</v>
      </c>
      <c r="F35" s="189">
        <f>+IF(AND(F30=$C$16,F33&lt;&gt;0),F34/F33,0)</f>
        <v>0</v>
      </c>
      <c r="G35" s="189">
        <f t="shared" si="7"/>
        <v>0</v>
      </c>
      <c r="H35" s="189">
        <f t="shared" si="7"/>
        <v>0</v>
      </c>
      <c r="I35" s="189">
        <f t="shared" si="7"/>
        <v>0</v>
      </c>
      <c r="J35" s="189">
        <f t="shared" si="7"/>
        <v>0</v>
      </c>
      <c r="K35" s="189">
        <f t="shared" si="7"/>
        <v>0</v>
      </c>
      <c r="L35" s="189">
        <f t="shared" si="7"/>
        <v>0</v>
      </c>
      <c r="M35" s="189">
        <f t="shared" si="7"/>
        <v>0</v>
      </c>
      <c r="N35" s="189">
        <f t="shared" si="7"/>
        <v>0</v>
      </c>
      <c r="O35" s="313"/>
      <c r="P35" s="307"/>
      <c r="Q35" s="266"/>
      <c r="R35" s="443">
        <f>+I33</f>
        <v>0</v>
      </c>
      <c r="S35" s="444"/>
    </row>
    <row r="36" spans="2:35" ht="18.75">
      <c r="B36" s="59" t="s">
        <v>303</v>
      </c>
      <c r="E36" s="196"/>
      <c r="G36" s="145"/>
      <c r="N36" s="451"/>
      <c r="O36" s="451"/>
      <c r="P36" s="238"/>
      <c r="Q36" s="238"/>
      <c r="AI36" s="15"/>
    </row>
    <row r="37" spans="2:35" ht="15.75" thickBot="1">
      <c r="M37" s="430"/>
      <c r="N37" s="452"/>
      <c r="O37" s="452"/>
      <c r="P37" s="238"/>
      <c r="Q37" s="238"/>
    </row>
    <row r="38" spans="2:35" ht="30" customHeight="1">
      <c r="B38" s="207" t="s">
        <v>304</v>
      </c>
      <c r="C38" s="208" t="str">
        <f>CONCATENATE("Bugetul Cumulativ (în ",'Introducerea datelor'!$D$26,")")</f>
        <v>Bugetul Cumulativ (în €)</v>
      </c>
      <c r="D38" s="209" t="str">
        <f>CONCATENATE("Cheltuielile Cumulative (în ",'Introducerea datelor'!$D$26,")")</f>
        <v>Cheltuielile Cumulative (în €)</v>
      </c>
      <c r="E38" s="314" t="s">
        <v>428</v>
      </c>
      <c r="F38" s="161" t="s">
        <v>429</v>
      </c>
      <c r="J38" s="68"/>
      <c r="K38" s="68"/>
      <c r="N38" s="3"/>
      <c r="O38" s="3"/>
      <c r="Q38" s="238"/>
      <c r="AE38" s="15"/>
      <c r="AF38" s="238"/>
    </row>
    <row r="39" spans="2:35" ht="46.5" customHeight="1">
      <c r="B39" s="453" t="s">
        <v>435</v>
      </c>
      <c r="C39" s="481">
        <v>380828.75</v>
      </c>
      <c r="D39" s="482">
        <v>297144.58</v>
      </c>
      <c r="E39" s="415">
        <f>C39-D39</f>
        <v>83684.169999999984</v>
      </c>
      <c r="F39" s="319">
        <f>IFERROR(D39/C39,"")</f>
        <v>0.78025774051985308</v>
      </c>
      <c r="G39" s="198"/>
      <c r="J39" s="69"/>
      <c r="K39" s="69"/>
      <c r="N39" s="3"/>
      <c r="O39" s="3"/>
      <c r="Q39" s="238"/>
      <c r="AE39" s="15"/>
      <c r="AF39" s="238"/>
    </row>
    <row r="40" spans="2:35" ht="49.5" customHeight="1">
      <c r="B40" s="453" t="s">
        <v>436</v>
      </c>
      <c r="C40" s="481">
        <v>1261912.7</v>
      </c>
      <c r="D40" s="482">
        <v>1194181.8500000001</v>
      </c>
      <c r="E40" s="415">
        <f t="shared" ref="E40:E49" si="8">C40-D40</f>
        <v>67730.84999999986</v>
      </c>
      <c r="F40" s="319">
        <f t="shared" ref="F40:F49" si="9">IFERROR(D40/C40,"")</f>
        <v>0.94632683386101124</v>
      </c>
      <c r="G40" s="198"/>
      <c r="K40" s="69"/>
      <c r="N40" s="3"/>
      <c r="O40" s="3"/>
      <c r="Q40" s="238"/>
      <c r="AE40" s="15"/>
      <c r="AF40" s="238"/>
    </row>
    <row r="41" spans="2:35" ht="48" customHeight="1">
      <c r="B41" s="453" t="s">
        <v>421</v>
      </c>
      <c r="C41" s="483">
        <v>64836.58</v>
      </c>
      <c r="D41" s="482">
        <v>46147.31</v>
      </c>
      <c r="E41" s="415">
        <f t="shared" si="8"/>
        <v>18689.270000000004</v>
      </c>
      <c r="F41" s="319">
        <f t="shared" si="9"/>
        <v>0.71174805950591469</v>
      </c>
      <c r="K41" s="69"/>
      <c r="N41" s="3"/>
      <c r="O41" s="3"/>
      <c r="Q41" s="238"/>
      <c r="AE41" s="15"/>
      <c r="AF41" s="238"/>
    </row>
    <row r="42" spans="2:35" ht="48" customHeight="1">
      <c r="B42" s="453" t="s">
        <v>437</v>
      </c>
      <c r="C42" s="483">
        <v>1256963.92</v>
      </c>
      <c r="D42" s="482">
        <v>1192889.58</v>
      </c>
      <c r="E42" s="415">
        <f t="shared" ref="E42:E44" si="10">C42-D42</f>
        <v>64074.339999999851</v>
      </c>
      <c r="F42" s="319">
        <f t="shared" si="9"/>
        <v>0.94902451933544774</v>
      </c>
      <c r="K42" s="69"/>
      <c r="N42" s="3"/>
      <c r="O42" s="3"/>
      <c r="Q42" s="238"/>
      <c r="AE42" s="15"/>
      <c r="AF42" s="238"/>
    </row>
    <row r="43" spans="2:35" ht="48" customHeight="1">
      <c r="B43" s="453" t="s">
        <v>438</v>
      </c>
      <c r="C43" s="483">
        <v>633508.65</v>
      </c>
      <c r="D43" s="482">
        <v>678728.1</v>
      </c>
      <c r="E43" s="415">
        <f t="shared" si="10"/>
        <v>-45219.449999999953</v>
      </c>
      <c r="F43" s="319">
        <f t="shared" si="9"/>
        <v>1.0713793726415575</v>
      </c>
      <c r="K43" s="69"/>
      <c r="N43" s="3"/>
      <c r="O43" s="3"/>
      <c r="Q43" s="238"/>
      <c r="AE43" s="15"/>
      <c r="AF43" s="238"/>
    </row>
    <row r="44" spans="2:35" ht="48" customHeight="1">
      <c r="B44" s="453" t="s">
        <v>439</v>
      </c>
      <c r="C44" s="483">
        <v>69498</v>
      </c>
      <c r="D44" s="482">
        <v>81383.210000000006</v>
      </c>
      <c r="E44" s="415">
        <f t="shared" si="10"/>
        <v>-11885.210000000006</v>
      </c>
      <c r="F44" s="319">
        <f t="shared" si="9"/>
        <v>1.1710151371262483</v>
      </c>
      <c r="H44" s="430"/>
      <c r="K44" s="69"/>
      <c r="N44" s="3"/>
      <c r="O44" s="3"/>
      <c r="Q44" s="238"/>
      <c r="AE44" s="15"/>
      <c r="AF44" s="238"/>
    </row>
    <row r="45" spans="2:35" ht="24.75" customHeight="1">
      <c r="B45" s="454" t="s">
        <v>422</v>
      </c>
      <c r="C45" s="483">
        <v>346469.95</v>
      </c>
      <c r="D45" s="482">
        <v>365981.93</v>
      </c>
      <c r="E45" s="415">
        <f t="shared" si="8"/>
        <v>-19511.979999999981</v>
      </c>
      <c r="F45" s="319">
        <f t="shared" si="9"/>
        <v>1.0563165146068223</v>
      </c>
      <c r="K45" s="15"/>
      <c r="N45" s="3"/>
      <c r="O45" s="3"/>
      <c r="Q45" s="238"/>
      <c r="AE45" s="15"/>
      <c r="AF45" s="238"/>
    </row>
    <row r="46" spans="2:35" ht="26.25" customHeight="1">
      <c r="B46" s="454" t="s">
        <v>427</v>
      </c>
      <c r="C46" s="483"/>
      <c r="D46" s="482"/>
      <c r="E46" s="415"/>
      <c r="F46" s="319" t="str">
        <f t="shared" si="9"/>
        <v/>
      </c>
      <c r="K46" s="15"/>
      <c r="N46" s="3"/>
      <c r="O46" s="3"/>
      <c r="Q46" s="238"/>
      <c r="AE46" s="15"/>
      <c r="AF46" s="238"/>
    </row>
    <row r="47" spans="2:35">
      <c r="B47" s="454" t="s">
        <v>412</v>
      </c>
      <c r="C47" s="483"/>
      <c r="D47" s="482">
        <v>16254.85</v>
      </c>
      <c r="E47" s="415">
        <f t="shared" si="8"/>
        <v>-16254.85</v>
      </c>
      <c r="F47" s="319" t="str">
        <f t="shared" si="9"/>
        <v/>
      </c>
      <c r="J47" s="15"/>
      <c r="K47" s="15"/>
      <c r="N47" s="3"/>
      <c r="O47" s="3"/>
      <c r="Q47" s="238"/>
      <c r="AE47" s="238"/>
      <c r="AF47" s="238"/>
    </row>
    <row r="48" spans="2:35">
      <c r="B48" s="455"/>
      <c r="C48" s="484"/>
      <c r="D48" s="485"/>
      <c r="E48" s="415"/>
      <c r="F48" s="319" t="str">
        <f t="shared" si="9"/>
        <v/>
      </c>
      <c r="J48" s="15"/>
      <c r="K48" s="15"/>
      <c r="N48" s="3"/>
      <c r="O48" s="3"/>
      <c r="Q48" s="238"/>
      <c r="AE48" s="238"/>
      <c r="AF48" s="238"/>
    </row>
    <row r="49" spans="2:35" ht="15.75" thickBot="1">
      <c r="B49" s="210" t="s">
        <v>39</v>
      </c>
      <c r="C49" s="310">
        <f>SUM(C39:C48)</f>
        <v>4014018.5500000003</v>
      </c>
      <c r="D49" s="317">
        <f>SUM(D39:D48)</f>
        <v>3872711.4100000006</v>
      </c>
      <c r="E49" s="415">
        <f t="shared" si="8"/>
        <v>141307.13999999966</v>
      </c>
      <c r="F49" s="319">
        <f t="shared" si="9"/>
        <v>0.96479659019014752</v>
      </c>
      <c r="N49" s="127"/>
      <c r="O49" s="443"/>
      <c r="P49" s="444"/>
      <c r="Q49" s="238"/>
      <c r="AE49" s="238"/>
      <c r="AF49" s="238"/>
    </row>
    <row r="50" spans="2:35">
      <c r="C50" s="124"/>
      <c r="D50" s="124"/>
      <c r="E50" s="150"/>
      <c r="F50" s="124"/>
      <c r="G50" s="124"/>
      <c r="H50" s="124"/>
      <c r="I50" s="124"/>
      <c r="J50" s="124"/>
      <c r="K50" s="124"/>
      <c r="L50" s="124"/>
      <c r="M50" s="124"/>
      <c r="N50" s="124"/>
      <c r="O50" s="124"/>
      <c r="P50" s="126"/>
      <c r="Q50" s="266"/>
      <c r="R50" s="443"/>
      <c r="S50" s="444"/>
    </row>
    <row r="51" spans="2:35" ht="18.75">
      <c r="B51" s="59" t="s">
        <v>306</v>
      </c>
      <c r="P51" s="444"/>
      <c r="Q51" s="266"/>
      <c r="R51" s="443">
        <f>+J33</f>
        <v>0</v>
      </c>
      <c r="S51" s="444"/>
    </row>
    <row r="52" spans="2:35" ht="15.75" thickBot="1">
      <c r="P52" s="444"/>
      <c r="Q52" s="127"/>
      <c r="R52" s="443">
        <f>+K33</f>
        <v>0</v>
      </c>
      <c r="S52" s="444"/>
    </row>
    <row r="53" spans="2:35" ht="35.25" customHeight="1">
      <c r="B53" s="164"/>
      <c r="C53" s="165" t="s">
        <v>311</v>
      </c>
      <c r="D53" s="165" t="s">
        <v>312</v>
      </c>
      <c r="E53" s="217" t="str">
        <f>CONCATENATE("Total Cheltuit și debursat (în ",D26,")")</f>
        <v>Total Cheltuit și debursat (în €)</v>
      </c>
      <c r="F53" s="238"/>
      <c r="G53" s="267"/>
      <c r="H53" s="161"/>
      <c r="I53" s="155"/>
      <c r="J53" s="155"/>
      <c r="K53" s="155"/>
      <c r="L53" s="155"/>
      <c r="M53" s="155"/>
      <c r="N53" s="155"/>
      <c r="O53" s="444"/>
      <c r="P53" s="127"/>
      <c r="Q53" s="443">
        <f>+M33</f>
        <v>0</v>
      </c>
      <c r="R53" s="444"/>
      <c r="AH53" s="15"/>
    </row>
    <row r="54" spans="2:35">
      <c r="B54" s="162" t="s">
        <v>307</v>
      </c>
      <c r="C54" s="486">
        <v>2829876.8</v>
      </c>
      <c r="D54" s="486">
        <f>1184141.73</f>
        <v>1184141.73</v>
      </c>
      <c r="E54" s="311">
        <f>+D54+C54</f>
        <v>4014018.53</v>
      </c>
      <c r="F54" s="238"/>
      <c r="G54" s="268"/>
      <c r="H54" s="67"/>
      <c r="I54" s="65"/>
      <c r="J54" s="456"/>
      <c r="K54" s="457"/>
      <c r="L54" s="66"/>
      <c r="M54" s="66"/>
      <c r="N54" s="66"/>
      <c r="O54" s="444"/>
      <c r="P54" s="444"/>
      <c r="Q54" s="444"/>
      <c r="R54" s="444"/>
      <c r="AH54" s="15"/>
    </row>
    <row r="55" spans="2:35">
      <c r="B55" s="162" t="s">
        <v>308</v>
      </c>
      <c r="C55" s="488">
        <v>1566759.14</v>
      </c>
      <c r="D55" s="488">
        <v>2305952.27</v>
      </c>
      <c r="E55" s="311">
        <f>+D55+C55</f>
        <v>3872711.41</v>
      </c>
      <c r="F55" s="238"/>
      <c r="G55" s="269"/>
      <c r="H55" s="67"/>
      <c r="I55" s="65"/>
      <c r="J55" s="456"/>
      <c r="K55" s="456"/>
      <c r="L55" s="66"/>
      <c r="M55" s="66"/>
      <c r="N55" s="66"/>
      <c r="O55" s="444"/>
      <c r="P55" s="444"/>
      <c r="Q55" s="444"/>
      <c r="R55" s="444"/>
      <c r="AH55" s="15"/>
    </row>
    <row r="56" spans="2:35">
      <c r="B56" s="162" t="s">
        <v>309</v>
      </c>
      <c r="C56" s="487">
        <v>238950.12</v>
      </c>
      <c r="D56" s="487">
        <v>245161.79</v>
      </c>
      <c r="E56" s="311">
        <f>+D56+C56</f>
        <v>484111.91000000003</v>
      </c>
      <c r="F56" s="238"/>
      <c r="G56" s="268"/>
      <c r="H56" s="67"/>
      <c r="I56" s="65"/>
      <c r="J56" s="456"/>
      <c r="K56" s="457"/>
      <c r="L56" s="66"/>
      <c r="M56" s="66"/>
      <c r="N56" s="66"/>
      <c r="O56" s="3"/>
      <c r="AH56" s="15"/>
    </row>
    <row r="57" spans="2:35" ht="15.75" thickBot="1">
      <c r="B57" s="163" t="s">
        <v>310</v>
      </c>
      <c r="C57" s="489">
        <v>227452.2</v>
      </c>
      <c r="D57" s="489">
        <f>461590.81-C57</f>
        <v>234138.61</v>
      </c>
      <c r="E57" s="312">
        <f>+D57+C57</f>
        <v>461590.81</v>
      </c>
      <c r="F57" s="238"/>
      <c r="G57" s="270"/>
      <c r="H57" s="458"/>
      <c r="I57" s="67"/>
      <c r="J57" s="67"/>
      <c r="K57" s="67"/>
      <c r="L57" s="66"/>
      <c r="M57" s="66"/>
      <c r="N57" s="66"/>
      <c r="O57" s="3"/>
      <c r="AH57" s="15"/>
    </row>
    <row r="58" spans="2:35" ht="15.75" customHeight="1">
      <c r="E58" s="318"/>
      <c r="F58" s="15"/>
      <c r="AI58" s="15"/>
    </row>
    <row r="59" spans="2:35">
      <c r="D59" s="153"/>
    </row>
    <row r="60" spans="2:35" ht="18.75">
      <c r="B60" s="59" t="s">
        <v>371</v>
      </c>
    </row>
    <row r="61" spans="2:35" ht="15.75" thickBot="1"/>
    <row r="62" spans="2:35">
      <c r="B62" s="660" t="s">
        <v>313</v>
      </c>
      <c r="C62" s="661"/>
      <c r="D62" s="662"/>
      <c r="M62" s="238"/>
      <c r="O62" s="3"/>
    </row>
    <row r="63" spans="2:35">
      <c r="B63" s="70"/>
      <c r="C63" s="167" t="s">
        <v>314</v>
      </c>
      <c r="D63" s="168" t="s">
        <v>315</v>
      </c>
      <c r="E63" s="238"/>
      <c r="M63" s="238"/>
      <c r="O63" s="3"/>
    </row>
    <row r="64" spans="2:35">
      <c r="B64" s="71" t="s">
        <v>316</v>
      </c>
      <c r="C64" s="490">
        <v>60</v>
      </c>
      <c r="D64" s="491">
        <v>89</v>
      </c>
      <c r="E64" s="238"/>
      <c r="F64" s="238"/>
      <c r="M64" s="238"/>
      <c r="O64" s="3"/>
    </row>
    <row r="65" spans="2:30">
      <c r="B65" s="166" t="s">
        <v>317</v>
      </c>
      <c r="C65" s="490">
        <v>5</v>
      </c>
      <c r="D65" s="491">
        <v>5</v>
      </c>
      <c r="H65" s="67"/>
      <c r="I65" s="67"/>
      <c r="M65" s="238"/>
      <c r="O65" s="3"/>
    </row>
    <row r="66" spans="2:30" ht="15.75" thickBot="1">
      <c r="B66" s="72" t="s">
        <v>318</v>
      </c>
      <c r="C66" s="492">
        <v>5</v>
      </c>
      <c r="D66" s="493">
        <v>5</v>
      </c>
      <c r="H66" s="67"/>
      <c r="I66" s="67"/>
      <c r="M66" s="238"/>
      <c r="O66" s="3"/>
    </row>
    <row r="68" spans="2:30" ht="15.75" thickBot="1">
      <c r="L68" s="213"/>
      <c r="AC68" s="2"/>
      <c r="AD68" s="2"/>
    </row>
    <row r="69" spans="2:30" ht="19.5" thickBot="1">
      <c r="B69" s="73" t="s">
        <v>320</v>
      </c>
      <c r="C69" s="74"/>
      <c r="D69" s="74"/>
      <c r="E69" s="74"/>
      <c r="F69" s="74"/>
      <c r="G69" s="74" t="s">
        <v>420</v>
      </c>
      <c r="H69" s="232"/>
      <c r="I69" s="74"/>
      <c r="J69" s="75"/>
      <c r="K69" s="75"/>
      <c r="L69" s="214"/>
      <c r="M69" s="215"/>
      <c r="N69" s="459"/>
      <c r="O69" s="459"/>
      <c r="P69" s="459"/>
      <c r="S69" s="76"/>
      <c r="AC69" s="2"/>
      <c r="AD69" s="2"/>
    </row>
    <row r="70" spans="2:30" ht="18.75">
      <c r="B70" s="77"/>
      <c r="C70" s="76"/>
      <c r="D70" s="76"/>
      <c r="E70" s="76"/>
      <c r="F70" s="76"/>
      <c r="G70" s="76"/>
      <c r="H70" s="76"/>
      <c r="I70" s="76"/>
      <c r="J70" s="76"/>
      <c r="K70" s="78"/>
      <c r="L70" s="78"/>
      <c r="M70" s="76"/>
      <c r="N70" s="459"/>
      <c r="O70" s="459"/>
      <c r="P70" s="459"/>
      <c r="S70" s="76"/>
      <c r="AC70" s="2"/>
      <c r="AD70" s="2"/>
    </row>
    <row r="71" spans="2:30" ht="18.75">
      <c r="B71" s="77" t="s">
        <v>321</v>
      </c>
      <c r="C71" s="76"/>
      <c r="D71" s="76"/>
      <c r="E71" s="76"/>
      <c r="F71" s="76"/>
      <c r="G71" s="76"/>
      <c r="H71" s="76"/>
      <c r="I71" s="76"/>
      <c r="J71" s="76"/>
      <c r="K71" s="78"/>
      <c r="L71" s="78"/>
      <c r="M71" s="76"/>
      <c r="N71" s="459"/>
      <c r="O71" s="459"/>
      <c r="P71" s="459"/>
      <c r="S71" s="76"/>
      <c r="AC71" s="2"/>
      <c r="AD71" s="2"/>
    </row>
    <row r="72" spans="2:30" ht="15.75" thickBot="1">
      <c r="B72" s="2"/>
      <c r="C72" s="79"/>
      <c r="D72" s="79"/>
      <c r="E72" s="79"/>
      <c r="F72" s="79"/>
      <c r="G72" s="79"/>
      <c r="H72" s="2"/>
      <c r="I72" s="79"/>
      <c r="J72" s="2"/>
      <c r="K72" s="2"/>
      <c r="L72" s="2"/>
      <c r="M72" s="2"/>
      <c r="N72" s="15"/>
      <c r="O72" s="2"/>
      <c r="P72" s="2"/>
      <c r="Q72" s="2"/>
      <c r="R72" s="2"/>
      <c r="S72" s="2"/>
      <c r="AD72" s="2"/>
    </row>
    <row r="73" spans="2:30" ht="60">
      <c r="B73" s="717"/>
      <c r="C73" s="718"/>
      <c r="D73" s="80" t="s">
        <v>324</v>
      </c>
      <c r="E73" s="81" t="s">
        <v>325</v>
      </c>
      <c r="F73" s="81" t="s">
        <v>326</v>
      </c>
      <c r="G73" s="82" t="s">
        <v>39</v>
      </c>
      <c r="H73" s="171"/>
      <c r="I73" s="172"/>
      <c r="J73" s="15"/>
      <c r="K73" s="2"/>
      <c r="L73" s="2"/>
      <c r="M73" s="2"/>
      <c r="N73" s="15"/>
      <c r="O73" s="2"/>
      <c r="P73" s="2"/>
      <c r="Q73" s="2"/>
      <c r="R73" s="2"/>
      <c r="S73" s="2"/>
    </row>
    <row r="74" spans="2:30">
      <c r="B74" s="650" t="s">
        <v>322</v>
      </c>
      <c r="C74" s="651"/>
      <c r="D74" s="494"/>
      <c r="E74" s="494">
        <v>2</v>
      </c>
      <c r="F74" s="494"/>
      <c r="G74" s="277">
        <f>SUM(D74:F74)</f>
        <v>2</v>
      </c>
      <c r="H74" s="15"/>
      <c r="I74" s="460"/>
      <c r="J74" s="460"/>
      <c r="K74" s="2" t="s">
        <v>319</v>
      </c>
      <c r="L74" s="2"/>
      <c r="M74" s="2"/>
      <c r="N74" s="15"/>
      <c r="O74" s="2"/>
      <c r="P74" s="2"/>
      <c r="Q74" s="2"/>
      <c r="R74" s="2"/>
      <c r="S74" s="2"/>
    </row>
    <row r="75" spans="2:30" ht="15.75" thickBot="1">
      <c r="B75" s="713" t="s">
        <v>323</v>
      </c>
      <c r="C75" s="714"/>
      <c r="D75" s="495"/>
      <c r="E75" s="495"/>
      <c r="F75" s="495"/>
      <c r="G75" s="85">
        <f>SUM(D75:F75)</f>
        <v>0</v>
      </c>
      <c r="H75" s="15"/>
      <c r="I75" s="15"/>
      <c r="J75" s="15"/>
      <c r="K75" s="2"/>
      <c r="L75" s="2"/>
      <c r="M75" s="2"/>
      <c r="N75" s="2"/>
      <c r="O75" s="2"/>
      <c r="P75" s="2"/>
      <c r="Q75" s="2"/>
      <c r="R75" s="2"/>
      <c r="S75" s="2"/>
    </row>
    <row r="76" spans="2:30">
      <c r="B76" s="2"/>
      <c r="C76" s="2"/>
      <c r="D76" s="2"/>
      <c r="E76" s="2"/>
      <c r="F76" s="2"/>
      <c r="G76" s="2"/>
      <c r="H76" s="2"/>
      <c r="I76" s="2"/>
      <c r="J76" s="2"/>
      <c r="K76" s="2"/>
      <c r="L76" s="2"/>
      <c r="M76" s="2"/>
      <c r="N76" s="2"/>
      <c r="O76" s="2"/>
      <c r="P76" s="2"/>
      <c r="Q76" s="2"/>
      <c r="R76" s="2"/>
      <c r="S76" s="2"/>
    </row>
    <row r="77" spans="2:30">
      <c r="B77" s="2"/>
      <c r="C77" s="2"/>
      <c r="D77" s="2"/>
      <c r="E77" s="2"/>
      <c r="F77" s="2"/>
      <c r="G77" s="2"/>
      <c r="H77" s="2"/>
      <c r="I77" s="2"/>
      <c r="J77" s="2"/>
      <c r="K77" s="2"/>
      <c r="L77" s="2"/>
      <c r="M77" s="2"/>
      <c r="N77" s="2"/>
      <c r="O77" s="2"/>
      <c r="P77" s="2"/>
      <c r="S77" s="2"/>
    </row>
    <row r="78" spans="2:30" ht="18.75">
      <c r="B78" s="77" t="s">
        <v>327</v>
      </c>
      <c r="C78" s="2"/>
      <c r="D78" s="2"/>
      <c r="E78" s="2"/>
      <c r="F78" s="2"/>
      <c r="G78" s="2"/>
      <c r="H78" s="2"/>
      <c r="I78" s="2"/>
      <c r="J78" s="2"/>
      <c r="K78" s="2"/>
      <c r="L78" s="2"/>
      <c r="M78" s="2"/>
      <c r="N78" s="2"/>
      <c r="O78" s="2"/>
      <c r="P78" s="2"/>
      <c r="S78" s="2"/>
    </row>
    <row r="79" spans="2:30" ht="15.75" thickBot="1">
      <c r="B79" s="2"/>
      <c r="C79" s="2"/>
      <c r="D79" s="2"/>
      <c r="E79" s="2"/>
      <c r="F79" s="2"/>
      <c r="G79" s="2"/>
      <c r="H79" s="2"/>
      <c r="I79" s="2"/>
      <c r="J79" s="2"/>
      <c r="K79" s="2"/>
      <c r="L79" s="2"/>
      <c r="M79" s="2"/>
      <c r="N79" s="2"/>
      <c r="O79" s="2"/>
      <c r="P79" s="2"/>
      <c r="S79" s="2"/>
    </row>
    <row r="80" spans="2:30">
      <c r="B80" s="86"/>
      <c r="C80" s="419" t="s">
        <v>328</v>
      </c>
      <c r="D80" s="419" t="s">
        <v>329</v>
      </c>
      <c r="E80" s="87" t="s">
        <v>330</v>
      </c>
      <c r="F80" s="15"/>
      <c r="G80" s="15"/>
      <c r="H80" s="15"/>
      <c r="I80" s="172"/>
      <c r="J80" s="2"/>
      <c r="K80" s="2"/>
      <c r="L80" s="2"/>
      <c r="M80" s="2"/>
      <c r="N80" s="2"/>
      <c r="O80" s="2"/>
      <c r="P80" s="2"/>
      <c r="S80" s="2"/>
    </row>
    <row r="81" spans="2:36" ht="15.75" thickBot="1">
      <c r="B81" s="88" t="s">
        <v>418</v>
      </c>
      <c r="C81" s="496">
        <v>14</v>
      </c>
      <c r="D81" s="496">
        <v>14</v>
      </c>
      <c r="E81" s="278">
        <f>+C81-D81</f>
        <v>0</v>
      </c>
      <c r="F81" s="146"/>
      <c r="G81" s="151"/>
      <c r="H81" s="15"/>
      <c r="I81" s="460"/>
      <c r="J81" s="2"/>
      <c r="K81" s="2"/>
      <c r="L81" s="2"/>
      <c r="M81" s="2"/>
      <c r="N81" s="2"/>
      <c r="O81" s="2"/>
      <c r="P81" s="2"/>
      <c r="S81" s="2"/>
    </row>
    <row r="82" spans="2:36">
      <c r="B82" s="2"/>
      <c r="C82" s="2"/>
      <c r="D82" s="2"/>
      <c r="E82" s="2"/>
      <c r="F82" s="2"/>
      <c r="G82" s="2"/>
      <c r="H82" s="2"/>
      <c r="I82" s="2"/>
      <c r="J82" s="2"/>
      <c r="K82" s="2"/>
      <c r="L82" s="2"/>
      <c r="M82" s="2"/>
      <c r="N82" s="2"/>
      <c r="O82" s="2"/>
      <c r="P82" s="2"/>
      <c r="S82" s="2"/>
    </row>
    <row r="83" spans="2:36" ht="18.75">
      <c r="B83" s="77" t="s">
        <v>331</v>
      </c>
      <c r="C83" s="2"/>
      <c r="D83" s="2"/>
      <c r="E83" s="2"/>
      <c r="F83" s="2"/>
      <c r="G83" s="2"/>
      <c r="H83" s="2"/>
      <c r="I83" s="2"/>
      <c r="J83" s="2"/>
      <c r="K83" s="2"/>
      <c r="L83" s="2"/>
      <c r="M83" s="2"/>
      <c r="N83" s="2"/>
      <c r="O83" s="2"/>
      <c r="P83" s="2"/>
      <c r="S83" s="2"/>
    </row>
    <row r="84" spans="2:36" ht="15.75" thickBot="1">
      <c r="B84" s="2"/>
      <c r="C84" s="2"/>
      <c r="D84" s="2"/>
      <c r="E84" s="2"/>
      <c r="F84" s="2"/>
      <c r="G84" s="2"/>
      <c r="H84" s="2"/>
      <c r="I84" s="2"/>
      <c r="J84" s="2"/>
      <c r="K84" s="2"/>
      <c r="L84" s="2"/>
      <c r="M84" s="2"/>
      <c r="N84" s="2"/>
      <c r="O84" s="2"/>
      <c r="P84" s="2"/>
      <c r="S84" s="2"/>
    </row>
    <row r="85" spans="2:36" ht="30">
      <c r="B85" s="86"/>
      <c r="C85" s="419" t="s">
        <v>332</v>
      </c>
      <c r="D85" s="419" t="s">
        <v>333</v>
      </c>
      <c r="E85" s="419" t="s">
        <v>334</v>
      </c>
      <c r="F85" s="419" t="s">
        <v>335</v>
      </c>
      <c r="G85" s="105" t="s">
        <v>336</v>
      </c>
      <c r="H85" s="152"/>
      <c r="I85" s="172"/>
      <c r="J85" s="2"/>
      <c r="K85" s="2"/>
      <c r="L85" s="2"/>
      <c r="M85" s="2"/>
      <c r="N85" s="2"/>
      <c r="O85" s="2"/>
      <c r="P85" s="2"/>
      <c r="S85" s="2"/>
    </row>
    <row r="86" spans="2:36" ht="15.75" thickBot="1">
      <c r="B86" s="88" t="s">
        <v>77</v>
      </c>
      <c r="C86" s="496">
        <v>2</v>
      </c>
      <c r="D86" s="496">
        <v>2</v>
      </c>
      <c r="E86" s="496">
        <v>2</v>
      </c>
      <c r="F86" s="496">
        <v>2</v>
      </c>
      <c r="G86" s="497">
        <v>2</v>
      </c>
      <c r="H86" s="461"/>
      <c r="I86" s="15"/>
      <c r="J86" s="2"/>
      <c r="K86" s="2"/>
      <c r="L86" s="2"/>
      <c r="M86" s="2"/>
      <c r="N86" s="2"/>
      <c r="O86" s="2"/>
      <c r="P86" s="2"/>
      <c r="S86" s="2"/>
    </row>
    <row r="87" spans="2:36">
      <c r="B87" s="2"/>
      <c r="C87" s="279"/>
      <c r="D87" s="279"/>
      <c r="E87" s="279"/>
      <c r="F87" s="279"/>
      <c r="G87" s="279"/>
      <c r="H87" s="2"/>
      <c r="J87" s="2"/>
      <c r="K87" s="2"/>
      <c r="L87" s="2"/>
      <c r="M87" s="2"/>
      <c r="N87" s="2"/>
      <c r="O87" s="2"/>
      <c r="P87" s="2"/>
      <c r="S87" s="2"/>
    </row>
    <row r="88" spans="2:36" ht="18.75">
      <c r="B88" s="77" t="s">
        <v>337</v>
      </c>
      <c r="C88" s="2"/>
      <c r="D88" s="2"/>
      <c r="E88" s="2"/>
      <c r="F88" s="2"/>
      <c r="G88" s="2"/>
      <c r="H88" s="2"/>
      <c r="I88" s="2"/>
      <c r="J88" s="2"/>
      <c r="K88" s="2"/>
      <c r="L88" s="2"/>
      <c r="M88" s="2"/>
      <c r="N88" s="2"/>
      <c r="O88" s="2"/>
      <c r="P88" s="2"/>
      <c r="S88" s="2"/>
    </row>
    <row r="89" spans="2:36" ht="15.75" thickBot="1">
      <c r="B89" s="2"/>
      <c r="C89" s="2"/>
      <c r="D89" s="2"/>
      <c r="E89" s="2"/>
      <c r="F89" s="2"/>
      <c r="G89" s="2"/>
      <c r="H89" s="2"/>
      <c r="I89" s="2"/>
      <c r="J89" s="2"/>
      <c r="K89" s="2"/>
      <c r="L89" s="2"/>
      <c r="M89" s="2"/>
      <c r="N89" s="2"/>
      <c r="O89" s="2"/>
      <c r="P89" s="2"/>
      <c r="S89" s="2"/>
    </row>
    <row r="90" spans="2:36">
      <c r="B90" s="86"/>
      <c r="C90" s="89" t="s">
        <v>340</v>
      </c>
      <c r="D90" s="89" t="s">
        <v>341</v>
      </c>
      <c r="E90" s="90" t="s">
        <v>342</v>
      </c>
      <c r="F90" s="2"/>
      <c r="G90" s="2"/>
      <c r="H90" s="2"/>
      <c r="I90" s="2"/>
      <c r="J90" s="2"/>
      <c r="K90" s="2"/>
      <c r="L90" s="2"/>
      <c r="N90" s="3"/>
      <c r="O90" s="2"/>
      <c r="AG90" s="238"/>
      <c r="AJ90" s="3"/>
    </row>
    <row r="91" spans="2:36">
      <c r="B91" s="83" t="s">
        <v>338</v>
      </c>
      <c r="C91" s="494">
        <v>8</v>
      </c>
      <c r="D91" s="498">
        <v>8</v>
      </c>
      <c r="E91" s="280">
        <f>C91-D91</f>
        <v>0</v>
      </c>
      <c r="F91" s="2"/>
      <c r="G91" s="2"/>
      <c r="H91" s="2"/>
      <c r="I91" s="2"/>
      <c r="J91" s="2"/>
      <c r="K91" s="2"/>
      <c r="L91" s="2"/>
      <c r="N91" s="3"/>
      <c r="O91" s="2"/>
      <c r="AG91" s="238"/>
      <c r="AJ91" s="3"/>
    </row>
    <row r="92" spans="2:36" ht="15.75" thickBot="1">
      <c r="B92" s="84" t="s">
        <v>339</v>
      </c>
      <c r="C92" s="495">
        <v>4</v>
      </c>
      <c r="D92" s="499">
        <v>4</v>
      </c>
      <c r="E92" s="462">
        <f>C92-D92</f>
        <v>0</v>
      </c>
      <c r="F92" s="2"/>
      <c r="G92" s="2"/>
      <c r="H92" s="2"/>
      <c r="I92" s="2"/>
      <c r="J92" s="2"/>
      <c r="K92" s="2"/>
      <c r="L92" s="2"/>
      <c r="N92" s="3"/>
      <c r="O92" s="2"/>
      <c r="AG92" s="238"/>
      <c r="AJ92" s="3"/>
    </row>
    <row r="93" spans="2:36">
      <c r="B93" s="2"/>
      <c r="C93" s="2"/>
      <c r="D93" s="2"/>
      <c r="E93" s="2"/>
      <c r="F93" s="2"/>
      <c r="G93" s="2"/>
      <c r="H93" s="2"/>
      <c r="I93" s="2"/>
      <c r="J93" s="2"/>
      <c r="K93" s="2"/>
      <c r="L93" s="2"/>
      <c r="M93" s="2"/>
      <c r="N93" s="2"/>
      <c r="O93" s="2"/>
      <c r="P93" s="2"/>
      <c r="S93" s="2"/>
    </row>
    <row r="94" spans="2:36" ht="18.75">
      <c r="B94" s="77" t="s">
        <v>343</v>
      </c>
      <c r="C94" s="2"/>
      <c r="D94" s="2"/>
      <c r="E94" s="2"/>
      <c r="F94" s="2"/>
      <c r="G94" s="2"/>
      <c r="H94" s="2"/>
      <c r="I94" s="2"/>
      <c r="J94" s="2"/>
      <c r="K94" s="2"/>
      <c r="L94" s="2"/>
      <c r="M94" s="2"/>
      <c r="N94" s="2"/>
      <c r="O94" s="2"/>
      <c r="P94" s="2"/>
      <c r="S94" s="2"/>
    </row>
    <row r="95" spans="2:36" ht="15.75" thickBot="1">
      <c r="B95" s="2"/>
      <c r="C95" s="2"/>
      <c r="D95" s="2"/>
      <c r="E95" s="2"/>
      <c r="F95" s="2"/>
      <c r="G95" s="2"/>
      <c r="H95" s="2"/>
      <c r="I95" s="15"/>
      <c r="J95" s="15"/>
      <c r="K95" s="15"/>
      <c r="L95" s="15"/>
      <c r="M95" s="15"/>
      <c r="N95" s="15"/>
      <c r="O95" s="15"/>
      <c r="P95" s="15"/>
      <c r="S95" s="2"/>
    </row>
    <row r="96" spans="2:36">
      <c r="B96" s="129"/>
      <c r="C96" s="463" t="s">
        <v>60</v>
      </c>
      <c r="D96" s="463" t="s">
        <v>61</v>
      </c>
      <c r="E96" s="463" t="s">
        <v>62</v>
      </c>
      <c r="F96" s="463" t="s">
        <v>63</v>
      </c>
      <c r="G96" s="463" t="s">
        <v>70</v>
      </c>
      <c r="H96" s="463" t="s">
        <v>71</v>
      </c>
      <c r="I96" s="463" t="s">
        <v>72</v>
      </c>
      <c r="J96" s="463" t="s">
        <v>73</v>
      </c>
      <c r="K96" s="463" t="s">
        <v>74</v>
      </c>
      <c r="L96" s="463" t="s">
        <v>75</v>
      </c>
      <c r="M96" s="463" t="s">
        <v>76</v>
      </c>
      <c r="N96" s="464" t="s">
        <v>230</v>
      </c>
      <c r="O96" s="15"/>
      <c r="P96" s="15"/>
      <c r="S96" s="2"/>
    </row>
    <row r="97" spans="2:19" ht="15" customHeight="1">
      <c r="B97" s="199" t="s">
        <v>344</v>
      </c>
      <c r="C97" s="500">
        <v>1160869.74</v>
      </c>
      <c r="D97" s="500">
        <v>1152538.74</v>
      </c>
      <c r="E97" s="501"/>
      <c r="F97" s="501"/>
      <c r="G97" s="501"/>
      <c r="H97" s="500"/>
      <c r="I97" s="500"/>
      <c r="J97" s="501"/>
      <c r="K97" s="501"/>
      <c r="L97" s="501"/>
      <c r="M97" s="501"/>
      <c r="N97" s="502"/>
      <c r="O97" s="15"/>
      <c r="P97" s="15"/>
      <c r="S97" s="2"/>
    </row>
    <row r="98" spans="2:19" ht="15" customHeight="1">
      <c r="B98" s="199" t="s">
        <v>345</v>
      </c>
      <c r="C98" s="500">
        <v>1079919</v>
      </c>
      <c r="D98" s="500">
        <v>1889082.86</v>
      </c>
      <c r="E98" s="501"/>
      <c r="F98" s="501"/>
      <c r="G98" s="501"/>
      <c r="H98" s="500"/>
      <c r="I98" s="500"/>
      <c r="J98" s="501"/>
      <c r="K98" s="501"/>
      <c r="L98" s="501"/>
      <c r="M98" s="501"/>
      <c r="N98" s="502"/>
      <c r="O98" s="15"/>
      <c r="P98" s="15"/>
      <c r="S98" s="2"/>
    </row>
    <row r="99" spans="2:19" ht="15" customHeight="1">
      <c r="B99" s="199" t="s">
        <v>346</v>
      </c>
      <c r="C99" s="500">
        <v>708982.7</v>
      </c>
      <c r="D99" s="500">
        <v>1410817.85</v>
      </c>
      <c r="E99" s="501"/>
      <c r="F99" s="501"/>
      <c r="G99" s="501"/>
      <c r="H99" s="500"/>
      <c r="I99" s="500"/>
      <c r="J99" s="501"/>
      <c r="K99" s="501"/>
      <c r="L99" s="501"/>
      <c r="M99" s="501"/>
      <c r="N99" s="502"/>
      <c r="O99" s="15"/>
      <c r="P99" s="15"/>
      <c r="S99" s="2"/>
    </row>
    <row r="100" spans="2:19" ht="15" customHeight="1">
      <c r="B100" s="173" t="s">
        <v>347</v>
      </c>
      <c r="C100" s="503">
        <f>C97</f>
        <v>1160869.74</v>
      </c>
      <c r="D100" s="504"/>
      <c r="E100" s="505"/>
      <c r="F100" s="505"/>
      <c r="G100" s="505"/>
      <c r="H100" s="504"/>
      <c r="I100" s="504"/>
      <c r="J100" s="505"/>
      <c r="K100" s="505"/>
      <c r="L100" s="504"/>
      <c r="M100" s="504"/>
      <c r="N100" s="506"/>
      <c r="O100" s="15"/>
      <c r="P100" s="15"/>
      <c r="S100" s="2"/>
    </row>
    <row r="101" spans="2:19" ht="15" customHeight="1">
      <c r="B101" s="173" t="s">
        <v>348</v>
      </c>
      <c r="C101" s="503">
        <f>C98</f>
        <v>1079919</v>
      </c>
      <c r="D101" s="504"/>
      <c r="E101" s="505"/>
      <c r="F101" s="505"/>
      <c r="G101" s="505"/>
      <c r="H101" s="504"/>
      <c r="I101" s="504"/>
      <c r="J101" s="505"/>
      <c r="K101" s="505"/>
      <c r="L101" s="504"/>
      <c r="M101" s="504"/>
      <c r="N101" s="506"/>
      <c r="O101" s="15"/>
      <c r="P101" s="15"/>
      <c r="S101" s="2"/>
    </row>
    <row r="102" spans="2:19" ht="15.75" thickBot="1">
      <c r="B102" s="227" t="s">
        <v>349</v>
      </c>
      <c r="C102" s="507">
        <f>C99</f>
        <v>708982.7</v>
      </c>
      <c r="D102" s="508"/>
      <c r="E102" s="509"/>
      <c r="F102" s="509"/>
      <c r="G102" s="509"/>
      <c r="H102" s="508"/>
      <c r="I102" s="508"/>
      <c r="J102" s="509"/>
      <c r="K102" s="509"/>
      <c r="L102" s="508"/>
      <c r="M102" s="508"/>
      <c r="N102" s="510"/>
      <c r="O102" s="15"/>
      <c r="P102" s="15"/>
      <c r="S102" s="2"/>
    </row>
    <row r="103" spans="2:19">
      <c r="C103" s="2"/>
      <c r="D103" s="2"/>
      <c r="E103" s="2"/>
      <c r="F103" s="2"/>
      <c r="G103" s="2"/>
      <c r="H103" s="2"/>
      <c r="I103" s="15"/>
      <c r="J103" s="91"/>
      <c r="K103" s="92"/>
      <c r="L103" s="15"/>
      <c r="M103" s="93"/>
      <c r="N103" s="15"/>
      <c r="O103" s="15"/>
      <c r="P103" s="15"/>
      <c r="S103" s="2"/>
    </row>
    <row r="104" spans="2:19">
      <c r="B104" s="2" t="s">
        <v>426</v>
      </c>
      <c r="C104" s="2"/>
      <c r="D104" s="2"/>
      <c r="E104" s="2"/>
      <c r="F104" s="2"/>
      <c r="G104" s="2"/>
      <c r="H104" s="2"/>
      <c r="I104" s="15"/>
      <c r="J104" s="91"/>
      <c r="K104" s="92"/>
      <c r="L104" s="15"/>
      <c r="M104" s="93"/>
      <c r="N104" s="15"/>
      <c r="O104" s="15"/>
      <c r="P104" s="15"/>
      <c r="S104" s="2"/>
    </row>
    <row r="105" spans="2:19">
      <c r="C105" s="2"/>
      <c r="D105" s="2"/>
      <c r="E105" s="2"/>
      <c r="F105" s="2"/>
      <c r="G105" s="2"/>
      <c r="H105" s="2"/>
      <c r="I105" s="15"/>
      <c r="J105" s="91"/>
      <c r="K105" s="93"/>
      <c r="L105" s="15"/>
      <c r="M105" s="93"/>
      <c r="N105" s="465"/>
      <c r="O105" s="15"/>
      <c r="P105" s="15"/>
      <c r="S105" s="2"/>
    </row>
    <row r="106" spans="2:19">
      <c r="I106" s="15"/>
      <c r="J106" s="15"/>
      <c r="K106" s="15"/>
      <c r="L106" s="15"/>
      <c r="M106" s="15"/>
      <c r="N106" s="465"/>
      <c r="O106" s="15"/>
      <c r="P106" s="15"/>
    </row>
    <row r="107" spans="2:19" ht="18.75">
      <c r="B107" s="77" t="s">
        <v>350</v>
      </c>
      <c r="I107" s="15"/>
      <c r="J107" s="15"/>
      <c r="K107" s="15"/>
      <c r="L107" s="15"/>
      <c r="M107" s="15"/>
      <c r="N107" s="465"/>
      <c r="O107" s="15"/>
      <c r="P107" s="15"/>
    </row>
    <row r="108" spans="2:19" ht="15.75" thickBot="1">
      <c r="C108" s="15"/>
      <c r="D108" s="15"/>
      <c r="E108" s="15"/>
      <c r="F108" s="15"/>
      <c r="G108" s="2"/>
      <c r="H108" s="2"/>
      <c r="I108" s="2"/>
      <c r="J108" s="15"/>
      <c r="K108" s="2"/>
      <c r="L108" s="15"/>
      <c r="M108" s="15"/>
      <c r="N108" s="15"/>
      <c r="O108" s="15"/>
      <c r="P108" s="15"/>
      <c r="Q108" s="2"/>
      <c r="S108" s="15"/>
    </row>
    <row r="109" spans="2:19" ht="90.75" customHeight="1">
      <c r="B109" s="174" t="s">
        <v>351</v>
      </c>
      <c r="C109" s="175" t="s">
        <v>352</v>
      </c>
      <c r="D109" s="466" t="s">
        <v>353</v>
      </c>
      <c r="E109" s="466" t="s">
        <v>354</v>
      </c>
      <c r="F109" s="467" t="s">
        <v>355</v>
      </c>
      <c r="G109" s="467" t="s">
        <v>356</v>
      </c>
      <c r="H109" s="466" t="s">
        <v>357</v>
      </c>
      <c r="I109" s="466" t="s">
        <v>377</v>
      </c>
      <c r="J109" s="466" t="s">
        <v>358</v>
      </c>
      <c r="K109" s="176" t="s">
        <v>359</v>
      </c>
      <c r="L109" s="2"/>
      <c r="M109" s="15"/>
      <c r="N109" s="15"/>
      <c r="O109" s="15"/>
      <c r="P109" s="2"/>
      <c r="R109" s="15"/>
    </row>
    <row r="110" spans="2:19">
      <c r="B110" s="719" t="s">
        <v>268</v>
      </c>
      <c r="C110" s="468" t="s">
        <v>268</v>
      </c>
      <c r="D110" s="469"/>
      <c r="E110" s="211" t="str">
        <f>IF(ISBLANK(D110),"",D110*30)</f>
        <v/>
      </c>
      <c r="F110" s="470"/>
      <c r="G110" s="197" t="str">
        <f>IF(AND(E110&gt;0,F110&gt;0),(F110*E110),"")</f>
        <v/>
      </c>
      <c r="H110" s="470"/>
      <c r="I110" s="219" t="str">
        <f>IF(AND(G110&gt;0,H110&gt;0),H110/G110,"")</f>
        <v/>
      </c>
      <c r="J110" s="471"/>
      <c r="K110" s="228" t="str">
        <f>IF(AND(I110&gt;0,J110&gt;0),I110-J110,"")</f>
        <v/>
      </c>
      <c r="L110" s="2"/>
      <c r="M110" s="15"/>
      <c r="N110" s="15"/>
      <c r="O110" s="15"/>
      <c r="P110" s="2"/>
      <c r="R110" s="15"/>
    </row>
    <row r="111" spans="2:19">
      <c r="B111" s="720"/>
      <c r="C111" s="468" t="s">
        <v>268</v>
      </c>
      <c r="D111" s="469"/>
      <c r="E111" s="211" t="str">
        <f>IF(ISBLANK(D111),"",D111*30)</f>
        <v/>
      </c>
      <c r="F111" s="470"/>
      <c r="G111" s="197" t="str">
        <f>IF(AND(E111&gt;0,F111&gt;0),(F111*E111),"")</f>
        <v/>
      </c>
      <c r="H111" s="470"/>
      <c r="I111" s="219" t="str">
        <f>IF(AND(G111&gt;0,H111&gt;0),H111/G111,"")</f>
        <v/>
      </c>
      <c r="J111" s="471"/>
      <c r="K111" s="228" t="str">
        <f>IF(AND(I111&gt;0,J111&gt;0),I111-J111,"")</f>
        <v/>
      </c>
      <c r="L111" s="2"/>
      <c r="M111" s="15"/>
      <c r="N111" s="15"/>
      <c r="O111" s="15"/>
      <c r="P111" s="2"/>
    </row>
    <row r="112" spans="2:19">
      <c r="B112" s="720"/>
      <c r="C112" s="468" t="s">
        <v>268</v>
      </c>
      <c r="D112" s="469"/>
      <c r="E112" s="211" t="str">
        <f>IF(ISBLANK(D112),"",D112*30)</f>
        <v/>
      </c>
      <c r="F112" s="470"/>
      <c r="G112" s="197" t="str">
        <f>IF(AND(E112&gt;0,F112&gt;0),(F112*E112),"")</f>
        <v/>
      </c>
      <c r="H112" s="470"/>
      <c r="I112" s="219" t="str">
        <f>IF(AND(G112&gt;0,H112&gt;0),H112/G112,"")</f>
        <v/>
      </c>
      <c r="J112" s="471"/>
      <c r="K112" s="228" t="str">
        <f>IF(AND(I112&gt;0,J112&gt;0),I112-J112,"")</f>
        <v/>
      </c>
      <c r="L112" s="2"/>
      <c r="M112" s="15"/>
      <c r="N112" s="15"/>
      <c r="O112" s="15"/>
      <c r="P112" s="2"/>
      <c r="R112" s="15"/>
    </row>
    <row r="113" spans="2:20" ht="15.75" thickBot="1">
      <c r="B113" s="721"/>
      <c r="C113" s="472" t="s">
        <v>268</v>
      </c>
      <c r="D113" s="473"/>
      <c r="E113" s="224" t="str">
        <f>IF(ISBLANK(D113),"",D113*30)</f>
        <v/>
      </c>
      <c r="F113" s="474"/>
      <c r="G113" s="225" t="str">
        <f>IF(AND(E113&gt;0,F113&gt;0),(F113*E113),"")</f>
        <v/>
      </c>
      <c r="H113" s="474"/>
      <c r="I113" s="226" t="str">
        <f>IF(AND(G113&gt;0,H113&gt;0),H113/G113,"")</f>
        <v/>
      </c>
      <c r="J113" s="475"/>
      <c r="K113" s="229" t="str">
        <f>IF(AND(I113&gt;0,J113&gt;0),I113-J113,"")</f>
        <v/>
      </c>
      <c r="L113" s="2"/>
      <c r="M113" s="15"/>
      <c r="N113" s="15"/>
      <c r="O113" s="15"/>
      <c r="P113" s="2"/>
      <c r="R113" s="15"/>
    </row>
    <row r="114" spans="2:20">
      <c r="G114" s="2"/>
      <c r="H114" s="2"/>
      <c r="I114" s="2"/>
      <c r="L114" s="2"/>
      <c r="M114" s="2"/>
      <c r="N114" s="15"/>
      <c r="O114" s="15"/>
      <c r="P114" s="15"/>
      <c r="Q114" s="2"/>
      <c r="S114" s="15"/>
    </row>
    <row r="115" spans="2:20" ht="15.75" thickBot="1">
      <c r="I115" s="2"/>
      <c r="J115" s="76"/>
      <c r="K115" s="76"/>
    </row>
    <row r="116" spans="2:20" ht="19.5" thickBot="1">
      <c r="B116" s="136" t="s">
        <v>360</v>
      </c>
      <c r="C116" s="94"/>
      <c r="D116" s="94"/>
      <c r="E116" s="95"/>
      <c r="F116" s="95"/>
      <c r="G116" s="95"/>
      <c r="H116" s="142"/>
      <c r="I116" s="137"/>
      <c r="J116" s="186"/>
      <c r="K116" s="187" t="s">
        <v>415</v>
      </c>
      <c r="L116" s="95"/>
      <c r="M116" s="188"/>
      <c r="N116" s="188"/>
      <c r="O116" s="188"/>
      <c r="P116" s="476"/>
      <c r="Q116" s="238"/>
    </row>
    <row r="117" spans="2:20" ht="15.75" thickBot="1">
      <c r="N117" s="3"/>
      <c r="O117" s="3"/>
      <c r="P117" s="238"/>
      <c r="Q117" s="238"/>
    </row>
    <row r="118" spans="2:20" ht="42.75" customHeight="1">
      <c r="B118" s="652" t="s">
        <v>363</v>
      </c>
      <c r="C118" s="653"/>
      <c r="D118" s="654"/>
      <c r="E118" s="177" t="s">
        <v>464</v>
      </c>
      <c r="F118" s="234" t="s">
        <v>467</v>
      </c>
      <c r="G118" s="139"/>
      <c r="H118" s="477" t="s">
        <v>60</v>
      </c>
      <c r="I118" s="477" t="s">
        <v>61</v>
      </c>
      <c r="J118" s="477" t="s">
        <v>277</v>
      </c>
      <c r="K118" s="477" t="s">
        <v>63</v>
      </c>
      <c r="L118" s="477" t="s">
        <v>70</v>
      </c>
      <c r="M118" s="477" t="s">
        <v>71</v>
      </c>
      <c r="N118" s="477" t="s">
        <v>72</v>
      </c>
      <c r="O118" s="477" t="s">
        <v>73</v>
      </c>
      <c r="P118" s="477" t="s">
        <v>74</v>
      </c>
      <c r="Q118" s="477" t="s">
        <v>75</v>
      </c>
      <c r="R118" s="477" t="s">
        <v>76</v>
      </c>
      <c r="S118" s="478" t="s">
        <v>230</v>
      </c>
      <c r="T118" s="5"/>
    </row>
    <row r="119" spans="2:20" ht="16.5" customHeight="1">
      <c r="B119" s="665" t="str">
        <f>VLOOKUP(T119,Table1[],4,0)</f>
        <v>TB I-3(M): Rata mortalităţii  - Numărul estimat de decese cauzate de TB (toate formele) pe an, la 100,000 persoane</v>
      </c>
      <c r="C119" s="665"/>
      <c r="D119" s="665"/>
      <c r="E119" s="703" t="str">
        <f>VLOOKUP(T119,Table1[],2,0)</f>
        <v>Indicator de impact</v>
      </c>
      <c r="F119" s="705" t="str">
        <f>VLOOKUP(T119,Table1[],3,0)</f>
        <v>TB</v>
      </c>
      <c r="G119" s="230" t="s">
        <v>361</v>
      </c>
      <c r="H119" s="511">
        <v>8.6999999999999993</v>
      </c>
      <c r="I119" s="511">
        <v>8.1999999999999993</v>
      </c>
      <c r="J119" s="512">
        <v>8.1999999999999993</v>
      </c>
      <c r="K119" s="511">
        <v>7.7</v>
      </c>
      <c r="L119" s="513">
        <v>7.7</v>
      </c>
      <c r="M119" s="511">
        <v>7.2</v>
      </c>
      <c r="N119" s="511">
        <v>7.2</v>
      </c>
      <c r="O119" s="511"/>
      <c r="P119" s="511"/>
      <c r="Q119" s="511"/>
      <c r="R119" s="511"/>
      <c r="S119" s="514"/>
      <c r="T119" s="479">
        <v>1</v>
      </c>
    </row>
    <row r="120" spans="2:20" ht="16.5" customHeight="1">
      <c r="B120" s="665"/>
      <c r="C120" s="665"/>
      <c r="D120" s="665"/>
      <c r="E120" s="704"/>
      <c r="F120" s="706"/>
      <c r="G120" s="230" t="s">
        <v>362</v>
      </c>
      <c r="H120" s="515">
        <v>7.94</v>
      </c>
      <c r="I120" s="516">
        <v>7.54</v>
      </c>
      <c r="J120" s="516"/>
      <c r="K120" s="516"/>
      <c r="L120" s="516"/>
      <c r="M120" s="516"/>
      <c r="N120" s="516"/>
      <c r="O120" s="516"/>
      <c r="P120" s="516"/>
      <c r="Q120" s="516"/>
      <c r="R120" s="516"/>
      <c r="S120" s="517"/>
      <c r="T120" s="479"/>
    </row>
    <row r="121" spans="2:20" ht="16.5" customHeight="1">
      <c r="B121" s="699" t="str">
        <f>VLOOKUP(T121,Table1[],4,0)</f>
        <v xml:space="preserve">TB I-4(M): Prevalența TB MDR printre cazurile noi de tuberculoză </v>
      </c>
      <c r="C121" s="699"/>
      <c r="D121" s="699"/>
      <c r="E121" s="709" t="str">
        <f>VLOOKUP(T121,Table1[],2,0)</f>
        <v>Indicator de impact</v>
      </c>
      <c r="F121" s="707" t="str">
        <f>VLOOKUP(T121,Table1[],3,0)</f>
        <v>TB</v>
      </c>
      <c r="G121" s="264" t="s">
        <v>361</v>
      </c>
      <c r="H121" s="518">
        <v>0.20499999999999999</v>
      </c>
      <c r="I121" s="518">
        <v>0.24</v>
      </c>
      <c r="J121" s="518">
        <v>0.24</v>
      </c>
      <c r="K121" s="518">
        <v>0.23</v>
      </c>
      <c r="L121" s="518">
        <v>0.23</v>
      </c>
      <c r="M121" s="518">
        <v>0.21</v>
      </c>
      <c r="N121" s="518">
        <v>0.21</v>
      </c>
      <c r="O121" s="520"/>
      <c r="P121" s="520"/>
      <c r="Q121" s="520"/>
      <c r="R121" s="520"/>
      <c r="S121" s="521"/>
      <c r="T121" s="479">
        <v>2</v>
      </c>
    </row>
    <row r="122" spans="2:20" ht="16.5" customHeight="1">
      <c r="B122" s="699"/>
      <c r="C122" s="699"/>
      <c r="D122" s="699"/>
      <c r="E122" s="710"/>
      <c r="F122" s="708"/>
      <c r="G122" s="264" t="s">
        <v>362</v>
      </c>
      <c r="H122" s="522">
        <v>0.26600000000000001</v>
      </c>
      <c r="I122" s="522">
        <v>0.27600000000000002</v>
      </c>
      <c r="J122" s="522"/>
      <c r="K122" s="522"/>
      <c r="L122" s="522"/>
      <c r="M122" s="522"/>
      <c r="N122" s="522"/>
      <c r="O122" s="523"/>
      <c r="P122" s="523"/>
      <c r="Q122" s="523"/>
      <c r="R122" s="523"/>
      <c r="S122" s="524"/>
      <c r="T122" s="479"/>
    </row>
    <row r="123" spans="2:20" ht="16.5" customHeight="1">
      <c r="B123" s="665" t="str">
        <f>VLOOKUP(T123,Table1[],4,0)</f>
        <v>HIV I-4: Mortalitatea asociată cu SIDA la 100,000 populaţie</v>
      </c>
      <c r="C123" s="665"/>
      <c r="D123" s="665"/>
      <c r="E123" s="715" t="str">
        <f>VLOOKUP(T123,Table1[],2,0)</f>
        <v>Indicator de impact</v>
      </c>
      <c r="F123" s="705" t="str">
        <f>VLOOKUP(T123,Table1[],3,0)</f>
        <v>HIV</v>
      </c>
      <c r="G123" s="230" t="s">
        <v>361</v>
      </c>
      <c r="H123" s="525">
        <v>3.0599999999999999E-2</v>
      </c>
      <c r="I123" s="535" t="s">
        <v>509</v>
      </c>
      <c r="J123" s="526">
        <v>3.7999999999999999E-2</v>
      </c>
      <c r="K123" s="527" t="s">
        <v>509</v>
      </c>
      <c r="L123" s="527">
        <v>3.6999999999999998E-2</v>
      </c>
      <c r="M123" s="528" t="s">
        <v>509</v>
      </c>
      <c r="N123" s="528">
        <v>3.5999999999999997E-2</v>
      </c>
      <c r="O123" s="528"/>
      <c r="P123" s="528"/>
      <c r="Q123" s="528"/>
      <c r="R123" s="528"/>
      <c r="S123" s="529"/>
      <c r="T123" s="479">
        <v>3</v>
      </c>
    </row>
    <row r="124" spans="2:20" ht="16.5" customHeight="1">
      <c r="B124" s="665"/>
      <c r="C124" s="665"/>
      <c r="D124" s="665"/>
      <c r="E124" s="716"/>
      <c r="F124" s="706"/>
      <c r="G124" s="230" t="s">
        <v>362</v>
      </c>
      <c r="H124" s="530">
        <v>3.5999999999999997E-2</v>
      </c>
      <c r="I124" s="530" t="s">
        <v>509</v>
      </c>
      <c r="J124" s="530"/>
      <c r="K124" s="531"/>
      <c r="L124" s="531"/>
      <c r="M124" s="531"/>
      <c r="N124" s="531"/>
      <c r="O124" s="531"/>
      <c r="P124" s="531"/>
      <c r="Q124" s="531"/>
      <c r="R124" s="531"/>
      <c r="S124" s="532"/>
      <c r="T124" s="479"/>
    </row>
    <row r="125" spans="2:20" ht="16.5" customHeight="1">
      <c r="B125" s="699" t="str">
        <f>VLOOKUP(T125,Table1[],4,0)</f>
        <v xml:space="preserve">HIV I-9a (M): Procentul BSB care trăiesc cu HIV </v>
      </c>
      <c r="C125" s="699"/>
      <c r="D125" s="699"/>
      <c r="E125" s="709" t="str">
        <f>VLOOKUP(T125,Table1[],2,0)</f>
        <v>Indicator de impact</v>
      </c>
      <c r="F125" s="707" t="str">
        <f>VLOOKUP(T125,Table1[],3,0)</f>
        <v>HIV</v>
      </c>
      <c r="G125" s="264" t="s">
        <v>361</v>
      </c>
      <c r="H125" s="520" t="s">
        <v>509</v>
      </c>
      <c r="I125" s="535" t="s">
        <v>509</v>
      </c>
      <c r="J125" s="520" t="s">
        <v>509</v>
      </c>
      <c r="K125" s="520" t="s">
        <v>509</v>
      </c>
      <c r="L125" s="520" t="s">
        <v>509</v>
      </c>
      <c r="M125" s="556">
        <v>0.09</v>
      </c>
      <c r="N125" s="534"/>
      <c r="O125" s="534"/>
      <c r="P125" s="534"/>
      <c r="Q125" s="534"/>
      <c r="R125" s="534"/>
      <c r="S125" s="521"/>
      <c r="T125" s="479">
        <v>4</v>
      </c>
    </row>
    <row r="126" spans="2:20" ht="16.5" customHeight="1">
      <c r="B126" s="699"/>
      <c r="C126" s="699"/>
      <c r="D126" s="699"/>
      <c r="E126" s="710"/>
      <c r="F126" s="708"/>
      <c r="G126" s="264" t="s">
        <v>362</v>
      </c>
      <c r="H126" s="520" t="s">
        <v>509</v>
      </c>
      <c r="I126" s="530" t="s">
        <v>509</v>
      </c>
      <c r="J126" s="519"/>
      <c r="K126" s="533"/>
      <c r="L126" s="533"/>
      <c r="M126" s="534"/>
      <c r="N126" s="534"/>
      <c r="O126" s="534"/>
      <c r="P126" s="534"/>
      <c r="Q126" s="534"/>
      <c r="R126" s="534"/>
      <c r="S126" s="521"/>
      <c r="T126" s="479"/>
    </row>
    <row r="127" spans="2:20" ht="16.5" customHeight="1">
      <c r="B127" s="682" t="str">
        <f>VLOOKUP(T127,Table1[],4,0)</f>
        <v>HIV I-10 (M): Procentul LSC care trăiesc cu HIV</v>
      </c>
      <c r="C127" s="682"/>
      <c r="D127" s="682"/>
      <c r="E127" s="629" t="str">
        <f>VLOOKUP(T127,Table1[],2,0)</f>
        <v>Indicator de impact</v>
      </c>
      <c r="F127" s="631" t="str">
        <f>VLOOKUP(T127,Table1[],3,0)</f>
        <v>HIV</v>
      </c>
      <c r="G127" s="223" t="s">
        <v>361</v>
      </c>
      <c r="H127" s="535" t="s">
        <v>509</v>
      </c>
      <c r="I127" s="535" t="s">
        <v>509</v>
      </c>
      <c r="J127" s="535" t="s">
        <v>509</v>
      </c>
      <c r="K127" s="535" t="s">
        <v>509</v>
      </c>
      <c r="L127" s="535" t="s">
        <v>509</v>
      </c>
      <c r="M127" s="556">
        <v>3.9E-2</v>
      </c>
      <c r="N127" s="536"/>
      <c r="O127" s="536"/>
      <c r="P127" s="536"/>
      <c r="Q127" s="536"/>
      <c r="R127" s="536"/>
      <c r="S127" s="537"/>
      <c r="T127" s="479">
        <v>5</v>
      </c>
    </row>
    <row r="128" spans="2:20" ht="16.5" customHeight="1">
      <c r="B128" s="682"/>
      <c r="C128" s="682"/>
      <c r="D128" s="682"/>
      <c r="E128" s="630"/>
      <c r="F128" s="632"/>
      <c r="G128" s="223" t="s">
        <v>362</v>
      </c>
      <c r="H128" s="535" t="s">
        <v>509</v>
      </c>
      <c r="I128" s="530" t="s">
        <v>509</v>
      </c>
      <c r="J128" s="535"/>
      <c r="K128" s="536"/>
      <c r="L128" s="536"/>
      <c r="M128" s="536"/>
      <c r="N128" s="536"/>
      <c r="O128" s="536"/>
      <c r="P128" s="536"/>
      <c r="Q128" s="536"/>
      <c r="R128" s="536"/>
      <c r="S128" s="537"/>
      <c r="T128" s="479"/>
    </row>
    <row r="129" spans="2:20" ht="16.5" customHeight="1">
      <c r="B129" s="623" t="str">
        <f>VLOOKUP(T129,Table1[],4,0)</f>
        <v>HIV I-11 (M): Procentul consumatorilor de droguri injectabile care trăiesc cu HIV</v>
      </c>
      <c r="C129" s="623"/>
      <c r="D129" s="623"/>
      <c r="E129" s="683" t="str">
        <f>VLOOKUP(T129,Table1[],2,0)</f>
        <v>Indicator de impact</v>
      </c>
      <c r="F129" s="711" t="str">
        <f>VLOOKUP(T129,Table1[],3,0)</f>
        <v>HIV</v>
      </c>
      <c r="G129" s="222" t="s">
        <v>361</v>
      </c>
      <c r="H129" s="538" t="s">
        <v>509</v>
      </c>
      <c r="I129" s="535" t="s">
        <v>509</v>
      </c>
      <c r="J129" s="538" t="s">
        <v>509</v>
      </c>
      <c r="K129" s="538" t="s">
        <v>509</v>
      </c>
      <c r="L129" s="538" t="s">
        <v>509</v>
      </c>
      <c r="M129" s="556">
        <v>0.13900000000000001</v>
      </c>
      <c r="N129" s="534"/>
      <c r="O129" s="534"/>
      <c r="P129" s="534"/>
      <c r="Q129" s="534"/>
      <c r="R129" s="534"/>
      <c r="S129" s="521"/>
      <c r="T129" s="479">
        <v>6</v>
      </c>
    </row>
    <row r="130" spans="2:20" ht="16.5" customHeight="1">
      <c r="B130" s="623"/>
      <c r="C130" s="623"/>
      <c r="D130" s="623"/>
      <c r="E130" s="684"/>
      <c r="F130" s="712"/>
      <c r="G130" s="222" t="s">
        <v>362</v>
      </c>
      <c r="H130" s="538" t="s">
        <v>509</v>
      </c>
      <c r="I130" s="530" t="s">
        <v>509</v>
      </c>
      <c r="J130" s="539"/>
      <c r="K130" s="540"/>
      <c r="L130" s="533"/>
      <c r="M130" s="534"/>
      <c r="N130" s="534"/>
      <c r="O130" s="534"/>
      <c r="P130" s="534"/>
      <c r="Q130" s="534"/>
      <c r="R130" s="534"/>
      <c r="S130" s="521"/>
      <c r="T130" s="479"/>
    </row>
    <row r="131" spans="2:20" ht="16.5" customHeight="1">
      <c r="B131" s="628" t="str">
        <f>VLOOKUP(T131,Table1[],4,0)</f>
        <v xml:space="preserve">TB O-4(M): Rata succesului tratamentului pacienților cu RR TB și/sau MDR-TB </v>
      </c>
      <c r="C131" s="628"/>
      <c r="D131" s="628"/>
      <c r="E131" s="695" t="str">
        <f>VLOOKUP(T131,Table1[],2,0)</f>
        <v>Indicator de rezultat</v>
      </c>
      <c r="F131" s="694" t="str">
        <f>VLOOKUP(T131,Table1[],3,0)</f>
        <v>TB</v>
      </c>
      <c r="G131" s="223" t="s">
        <v>361</v>
      </c>
      <c r="H131" s="541">
        <v>0.65049999999999997</v>
      </c>
      <c r="I131" s="541">
        <v>0.65049999999999997</v>
      </c>
      <c r="J131" s="541">
        <v>0.6804</v>
      </c>
      <c r="K131" s="541">
        <v>0.6804</v>
      </c>
      <c r="L131" s="541">
        <v>0.72009999999999996</v>
      </c>
      <c r="M131" s="541">
        <v>0.72009999999999996</v>
      </c>
      <c r="N131" s="542"/>
      <c r="O131" s="542"/>
      <c r="P131" s="542"/>
      <c r="Q131" s="542"/>
      <c r="R131" s="542"/>
      <c r="S131" s="537"/>
      <c r="T131" s="479">
        <v>7</v>
      </c>
    </row>
    <row r="132" spans="2:20" ht="16.5" customHeight="1">
      <c r="B132" s="628"/>
      <c r="C132" s="628"/>
      <c r="D132" s="628"/>
      <c r="E132" s="630"/>
      <c r="F132" s="632"/>
      <c r="G132" s="223" t="s">
        <v>362</v>
      </c>
      <c r="H132" s="543">
        <v>0.52629999999999999</v>
      </c>
      <c r="I132" s="543">
        <v>0.54400000000000004</v>
      </c>
      <c r="J132" s="544"/>
      <c r="K132" s="545"/>
      <c r="L132" s="545"/>
      <c r="M132" s="545"/>
      <c r="N132" s="545"/>
      <c r="O132" s="545"/>
      <c r="P132" s="545"/>
      <c r="Q132" s="545"/>
      <c r="R132" s="545"/>
      <c r="S132" s="546"/>
      <c r="T132" s="479"/>
    </row>
    <row r="133" spans="2:20" ht="16.5" customHeight="1">
      <c r="B133" s="623" t="str">
        <f>VLOOKUP(T133,Table1[],4,0)</f>
        <v>TB O-1a: Rata de notificare a cazurilor de tuberculoză (toate formele) per 100,000 populație</v>
      </c>
      <c r="C133" s="623"/>
      <c r="D133" s="623"/>
      <c r="E133" s="624" t="str">
        <f>VLOOKUP(T133,Table1[],2,0)</f>
        <v>Indicator de rezultat</v>
      </c>
      <c r="F133" s="626" t="str">
        <f>VLOOKUP(T133,Table1[],3,0)</f>
        <v>TB</v>
      </c>
      <c r="G133" s="231" t="s">
        <v>361</v>
      </c>
      <c r="H133" s="534">
        <v>103.5</v>
      </c>
      <c r="I133" s="534">
        <v>96</v>
      </c>
      <c r="J133" s="534">
        <v>96</v>
      </c>
      <c r="K133" s="534">
        <v>94.6</v>
      </c>
      <c r="L133" s="534">
        <v>94.6</v>
      </c>
      <c r="M133" s="534">
        <v>92.8</v>
      </c>
      <c r="N133" s="534">
        <v>92.8</v>
      </c>
      <c r="O133" s="548"/>
      <c r="P133" s="548"/>
      <c r="Q133" s="548"/>
      <c r="R133" s="548"/>
      <c r="S133" s="549"/>
      <c r="T133" s="479">
        <v>8</v>
      </c>
    </row>
    <row r="134" spans="2:20" ht="16.5" customHeight="1">
      <c r="B134" s="623"/>
      <c r="C134" s="623"/>
      <c r="D134" s="623"/>
      <c r="E134" s="625"/>
      <c r="F134" s="627"/>
      <c r="G134" s="231" t="s">
        <v>362</v>
      </c>
      <c r="H134" s="550">
        <v>83.17</v>
      </c>
      <c r="I134" s="550">
        <v>74.959999999999994</v>
      </c>
      <c r="J134" s="551"/>
      <c r="K134" s="551"/>
      <c r="L134" s="551"/>
      <c r="M134" s="551"/>
      <c r="N134" s="551"/>
      <c r="O134" s="551"/>
      <c r="P134" s="551"/>
      <c r="Q134" s="551"/>
      <c r="R134" s="551"/>
      <c r="S134" s="552"/>
      <c r="T134" s="479"/>
    </row>
    <row r="135" spans="2:20" ht="16.5" customHeight="1">
      <c r="B135" s="628" t="str">
        <f>VLOOKUP(T135,Table1[],4,0)</f>
        <v>TB O-5(M): Rata de acoperire cu tratament antituberculos</v>
      </c>
      <c r="C135" s="628"/>
      <c r="D135" s="628"/>
      <c r="E135" s="629" t="str">
        <f>VLOOKUP(T135,Table1[],2,0)</f>
        <v>Indicator de rezultat</v>
      </c>
      <c r="F135" s="631" t="str">
        <f>VLOOKUP(T135,Table1[],3,0)</f>
        <v>TB</v>
      </c>
      <c r="G135" s="223" t="s">
        <v>361</v>
      </c>
      <c r="H135" s="535" t="s">
        <v>509</v>
      </c>
      <c r="I135" s="535" t="s">
        <v>509</v>
      </c>
      <c r="J135" s="554"/>
      <c r="K135" s="553"/>
      <c r="L135" s="553"/>
      <c r="M135" s="553"/>
      <c r="N135" s="553"/>
      <c r="O135" s="553"/>
      <c r="P135" s="553"/>
      <c r="Q135" s="553"/>
      <c r="R135" s="553"/>
      <c r="S135" s="555"/>
      <c r="T135" s="479">
        <v>9</v>
      </c>
    </row>
    <row r="136" spans="2:20" ht="16.5" customHeight="1">
      <c r="B136" s="628"/>
      <c r="C136" s="628"/>
      <c r="D136" s="628"/>
      <c r="E136" s="630"/>
      <c r="F136" s="632"/>
      <c r="G136" s="223" t="s">
        <v>362</v>
      </c>
      <c r="H136" s="535" t="s">
        <v>509</v>
      </c>
      <c r="I136" s="535" t="s">
        <v>509</v>
      </c>
      <c r="J136" s="554"/>
      <c r="K136" s="553"/>
      <c r="L136" s="553"/>
      <c r="M136" s="553"/>
      <c r="N136" s="553"/>
      <c r="O136" s="553"/>
      <c r="P136" s="553"/>
      <c r="Q136" s="553"/>
      <c r="R136" s="553"/>
      <c r="S136" s="555"/>
      <c r="T136" s="479"/>
    </row>
    <row r="137" spans="2:20" ht="16.5" customHeight="1">
      <c r="B137" s="623" t="str">
        <f>VLOOKUP(T137,Table1[],4,0)</f>
        <v xml:space="preserve">HIV O-1 (M): Procentul adulţilor şi copiilor HIV infectaţi care se află în tratament 12 luni după iniţierea tratamentului antiretroviral </v>
      </c>
      <c r="C137" s="623"/>
      <c r="D137" s="623"/>
      <c r="E137" s="624" t="str">
        <f>VLOOKUP(T137,Table1[],2,0)</f>
        <v>Indicator de rezultat</v>
      </c>
      <c r="F137" s="626" t="str">
        <f>VLOOKUP(T137,Table1[],3,0)</f>
        <v>HIV</v>
      </c>
      <c r="G137" s="231" t="s">
        <v>361</v>
      </c>
      <c r="H137" s="556">
        <v>0.85</v>
      </c>
      <c r="I137" s="535" t="s">
        <v>509</v>
      </c>
      <c r="J137" s="556">
        <v>0.84</v>
      </c>
      <c r="K137" s="527" t="s">
        <v>509</v>
      </c>
      <c r="L137" s="556">
        <v>0.85</v>
      </c>
      <c r="M137" s="527" t="s">
        <v>509</v>
      </c>
      <c r="N137" s="556">
        <v>0.86</v>
      </c>
      <c r="O137" s="548"/>
      <c r="P137" s="548"/>
      <c r="Q137" s="548"/>
      <c r="R137" s="548"/>
      <c r="S137" s="549"/>
      <c r="T137" s="479">
        <v>10</v>
      </c>
    </row>
    <row r="138" spans="2:20" ht="16.5" customHeight="1">
      <c r="B138" s="623"/>
      <c r="C138" s="623"/>
      <c r="D138" s="623"/>
      <c r="E138" s="625"/>
      <c r="F138" s="627"/>
      <c r="G138" s="231" t="s">
        <v>362</v>
      </c>
      <c r="H138" s="557">
        <v>0.83299999999999996</v>
      </c>
      <c r="I138" s="530" t="s">
        <v>509</v>
      </c>
      <c r="J138" s="551"/>
      <c r="K138" s="551"/>
      <c r="L138" s="551"/>
      <c r="M138" s="551"/>
      <c r="N138" s="551"/>
      <c r="O138" s="551"/>
      <c r="P138" s="551"/>
      <c r="Q138" s="551"/>
      <c r="R138" s="551"/>
      <c r="S138" s="552"/>
      <c r="T138" s="479"/>
    </row>
    <row r="139" spans="2:20" ht="16.5" customHeight="1">
      <c r="B139" s="628" t="str">
        <f>VLOOKUP(T139,Table1[],4,0)</f>
        <v>HIV O-4a (M): Procentul BSB care raportează utilizarea prezervativului în timpul ultimului act de sex anal cu partenerul de gen masculin</v>
      </c>
      <c r="C139" s="628"/>
      <c r="D139" s="628"/>
      <c r="E139" s="629" t="str">
        <f>VLOOKUP(T139,Table1[],2,0)</f>
        <v>Indicator de rezultat</v>
      </c>
      <c r="F139" s="631" t="str">
        <f>VLOOKUP(T139,Table1[],3,0)</f>
        <v>HIV</v>
      </c>
      <c r="G139" s="223" t="s">
        <v>361</v>
      </c>
      <c r="H139" s="535" t="s">
        <v>509</v>
      </c>
      <c r="I139" s="535" t="s">
        <v>509</v>
      </c>
      <c r="J139" s="535" t="s">
        <v>509</v>
      </c>
      <c r="K139" s="535" t="s">
        <v>509</v>
      </c>
      <c r="L139" s="535" t="s">
        <v>509</v>
      </c>
      <c r="M139" s="556">
        <v>0.7</v>
      </c>
      <c r="N139" s="553"/>
      <c r="O139" s="553"/>
      <c r="P139" s="553"/>
      <c r="Q139" s="553"/>
      <c r="R139" s="553"/>
      <c r="S139" s="555"/>
      <c r="T139" s="479">
        <v>11</v>
      </c>
    </row>
    <row r="140" spans="2:20" ht="16.5" customHeight="1">
      <c r="B140" s="628"/>
      <c r="C140" s="628"/>
      <c r="D140" s="628"/>
      <c r="E140" s="630"/>
      <c r="F140" s="632"/>
      <c r="G140" s="223" t="s">
        <v>362</v>
      </c>
      <c r="H140" s="530" t="s">
        <v>509</v>
      </c>
      <c r="I140" s="530" t="s">
        <v>509</v>
      </c>
      <c r="J140" s="554"/>
      <c r="K140" s="553"/>
      <c r="L140" s="553"/>
      <c r="M140" s="553"/>
      <c r="N140" s="553"/>
      <c r="O140" s="553"/>
      <c r="P140" s="553"/>
      <c r="Q140" s="553"/>
      <c r="R140" s="553"/>
      <c r="S140" s="555"/>
      <c r="T140" s="479"/>
    </row>
    <row r="141" spans="2:20" ht="16.5" customHeight="1">
      <c r="B141" s="623" t="str">
        <f>VLOOKUP(T141,Table1[],4,0)</f>
        <v>HIV O-5 (M): Procentul LSC care raportează utilizarea prezervativului cu ultimul lor client</v>
      </c>
      <c r="C141" s="623"/>
      <c r="D141" s="623"/>
      <c r="E141" s="624" t="str">
        <f>VLOOKUP(T141,Table1[],2,0)</f>
        <v>Indicator de rezultat</v>
      </c>
      <c r="F141" s="626" t="str">
        <f>VLOOKUP(T141,Table1[],3,0)</f>
        <v>HIV</v>
      </c>
      <c r="G141" s="231" t="s">
        <v>361</v>
      </c>
      <c r="H141" s="535" t="s">
        <v>509</v>
      </c>
      <c r="I141" s="535" t="s">
        <v>509</v>
      </c>
      <c r="J141" s="535" t="s">
        <v>509</v>
      </c>
      <c r="K141" s="535" t="s">
        <v>509</v>
      </c>
      <c r="L141" s="535" t="s">
        <v>509</v>
      </c>
      <c r="M141" s="556">
        <v>0.9</v>
      </c>
      <c r="N141" s="548"/>
      <c r="O141" s="548"/>
      <c r="P141" s="548"/>
      <c r="Q141" s="548"/>
      <c r="R141" s="548"/>
      <c r="S141" s="549"/>
      <c r="T141" s="479">
        <v>12</v>
      </c>
    </row>
    <row r="142" spans="2:20" ht="16.5" customHeight="1">
      <c r="B142" s="623"/>
      <c r="C142" s="623"/>
      <c r="D142" s="623"/>
      <c r="E142" s="625"/>
      <c r="F142" s="627"/>
      <c r="G142" s="231" t="s">
        <v>362</v>
      </c>
      <c r="H142" s="530" t="s">
        <v>509</v>
      </c>
      <c r="I142" s="530" t="s">
        <v>509</v>
      </c>
      <c r="J142" s="547"/>
      <c r="K142" s="548"/>
      <c r="L142" s="548"/>
      <c r="M142" s="548"/>
      <c r="N142" s="548"/>
      <c r="O142" s="548"/>
      <c r="P142" s="548"/>
      <c r="Q142" s="548"/>
      <c r="R142" s="548"/>
      <c r="S142" s="549"/>
      <c r="T142" s="479"/>
    </row>
    <row r="143" spans="2:20" ht="16.5" customHeight="1">
      <c r="B143" s="628" t="str">
        <f>VLOOKUP(T143,Table1[],4,0)</f>
        <v>HIV O-6 (M): Procentul consumatorilor de droguri injectabile care raportează utilizarea setului pentru injectare steril la ultima injectare</v>
      </c>
      <c r="C143" s="628"/>
      <c r="D143" s="628"/>
      <c r="E143" s="629" t="str">
        <f>VLOOKUP(T143,Table1[],2,0)</f>
        <v>Indicator de rezultat</v>
      </c>
      <c r="F143" s="631" t="str">
        <f>VLOOKUP(T143,Table1[],3,0)</f>
        <v>HIV</v>
      </c>
      <c r="G143" s="223" t="s">
        <v>361</v>
      </c>
      <c r="H143" s="535" t="s">
        <v>509</v>
      </c>
      <c r="I143" s="535" t="s">
        <v>509</v>
      </c>
      <c r="J143" s="535" t="s">
        <v>509</v>
      </c>
      <c r="K143" s="535" t="s">
        <v>509</v>
      </c>
      <c r="L143" s="535" t="s">
        <v>509</v>
      </c>
      <c r="M143" s="556">
        <v>0.99</v>
      </c>
      <c r="N143" s="553"/>
      <c r="O143" s="553"/>
      <c r="P143" s="553"/>
      <c r="Q143" s="553"/>
      <c r="R143" s="553"/>
      <c r="S143" s="555"/>
      <c r="T143" s="479">
        <v>13</v>
      </c>
    </row>
    <row r="144" spans="2:20" ht="16.5" customHeight="1">
      <c r="B144" s="628"/>
      <c r="C144" s="628"/>
      <c r="D144" s="628"/>
      <c r="E144" s="630"/>
      <c r="F144" s="632"/>
      <c r="G144" s="223" t="s">
        <v>362</v>
      </c>
      <c r="H144" s="530" t="s">
        <v>509</v>
      </c>
      <c r="I144" s="530" t="s">
        <v>509</v>
      </c>
      <c r="J144" s="554"/>
      <c r="K144" s="553"/>
      <c r="L144" s="553"/>
      <c r="M144" s="553"/>
      <c r="N144" s="553"/>
      <c r="O144" s="553"/>
      <c r="P144" s="553"/>
      <c r="Q144" s="553"/>
      <c r="R144" s="553"/>
      <c r="S144" s="555"/>
      <c r="T144" s="479"/>
    </row>
    <row r="145" spans="2:20" ht="16.5" customHeight="1">
      <c r="B145" s="623" t="str">
        <f>VLOOKUP(T145,Table1[],4,0)</f>
        <v>MDR TB-2(M): Numărul cazurilor de TB DR (RR-TB și/sau MDR-TB), confirmate bacteriologic, notificate</v>
      </c>
      <c r="C145" s="623"/>
      <c r="D145" s="623"/>
      <c r="E145" s="624" t="str">
        <f>VLOOKUP(T145,Table1[],2,0)</f>
        <v>Indicator de proces</v>
      </c>
      <c r="F145" s="626" t="str">
        <f>VLOOKUP(T145,Table1[],3,0)</f>
        <v>TB</v>
      </c>
      <c r="G145" s="231" t="s">
        <v>361</v>
      </c>
      <c r="H145" s="558">
        <v>535</v>
      </c>
      <c r="I145" s="558">
        <v>1069</v>
      </c>
      <c r="J145" s="547"/>
      <c r="K145" s="558">
        <v>1023</v>
      </c>
      <c r="L145" s="548"/>
      <c r="M145" s="558">
        <v>1007</v>
      </c>
      <c r="N145" s="548"/>
      <c r="O145" s="548"/>
      <c r="P145" s="548"/>
      <c r="Q145" s="548"/>
      <c r="R145" s="548"/>
      <c r="S145" s="549"/>
      <c r="T145" s="479">
        <v>14</v>
      </c>
    </row>
    <row r="146" spans="2:20" ht="16.5" customHeight="1">
      <c r="B146" s="623"/>
      <c r="C146" s="623"/>
      <c r="D146" s="623"/>
      <c r="E146" s="625"/>
      <c r="F146" s="627"/>
      <c r="G146" s="231" t="s">
        <v>362</v>
      </c>
      <c r="H146" s="559">
        <v>376</v>
      </c>
      <c r="I146" s="559">
        <v>811</v>
      </c>
      <c r="J146" s="551"/>
      <c r="K146" s="551"/>
      <c r="L146" s="551"/>
      <c r="M146" s="551"/>
      <c r="N146" s="551"/>
      <c r="O146" s="551"/>
      <c r="P146" s="551"/>
      <c r="Q146" s="551"/>
      <c r="R146" s="551"/>
      <c r="S146" s="552"/>
      <c r="T146" s="479"/>
    </row>
    <row r="147" spans="2:20" ht="16.5" customHeight="1">
      <c r="B147" s="628" t="str">
        <f>VLOOKUP(T147,Table1[],4,0)</f>
        <v xml:space="preserve">MDR TB-3(M): Numărul cazurilor cu tuberculoză drog-rezistentă (RR-TB și/sau MDR-TB), confirmate bacteriologic, care au demarat tratamentul DOTS-Plus în perioada raportată                </v>
      </c>
      <c r="C147" s="628"/>
      <c r="D147" s="628"/>
      <c r="E147" s="629" t="str">
        <f>VLOOKUP(T147,Table1[],2,0)</f>
        <v>Indicator de proces</v>
      </c>
      <c r="F147" s="631" t="str">
        <f>VLOOKUP(T147,Table1[],3,0)</f>
        <v>TB</v>
      </c>
      <c r="G147" s="223" t="s">
        <v>361</v>
      </c>
      <c r="H147" s="536">
        <v>531</v>
      </c>
      <c r="I147" s="536">
        <v>1061</v>
      </c>
      <c r="J147" s="554"/>
      <c r="K147" s="536">
        <v>1013</v>
      </c>
      <c r="L147" s="553"/>
      <c r="M147" s="536">
        <v>982</v>
      </c>
      <c r="N147" s="553"/>
      <c r="O147" s="553"/>
      <c r="P147" s="553"/>
      <c r="Q147" s="553"/>
      <c r="R147" s="553"/>
      <c r="S147" s="555"/>
      <c r="T147" s="479">
        <v>15</v>
      </c>
    </row>
    <row r="148" spans="2:20" ht="16.5" customHeight="1">
      <c r="B148" s="628"/>
      <c r="C148" s="628"/>
      <c r="D148" s="628"/>
      <c r="E148" s="630"/>
      <c r="F148" s="632"/>
      <c r="G148" s="223" t="s">
        <v>362</v>
      </c>
      <c r="H148" s="560">
        <v>485</v>
      </c>
      <c r="I148" s="560">
        <v>937</v>
      </c>
      <c r="J148" s="562"/>
      <c r="K148" s="561"/>
      <c r="L148" s="561"/>
      <c r="M148" s="561"/>
      <c r="N148" s="561"/>
      <c r="O148" s="561"/>
      <c r="P148" s="561"/>
      <c r="Q148" s="561"/>
      <c r="R148" s="561"/>
      <c r="S148" s="563"/>
      <c r="T148" s="479"/>
    </row>
    <row r="149" spans="2:20" ht="16.5" customHeight="1">
      <c r="B149" s="623" t="str">
        <f>VLOOKUP(T149,Table1[],4,0)</f>
        <v>MDR TB-4: Rezultatul interimar de abandon al tratamentului cazurilor MDR-TB</v>
      </c>
      <c r="C149" s="623"/>
      <c r="D149" s="623"/>
      <c r="E149" s="624" t="str">
        <f>VLOOKUP(T149,Table1[],2,0)</f>
        <v>Indicator de proces</v>
      </c>
      <c r="F149" s="626" t="str">
        <f>VLOOKUP(T149,Table1[],3,0)</f>
        <v>TB</v>
      </c>
      <c r="G149" s="231" t="s">
        <v>361</v>
      </c>
      <c r="H149" s="556">
        <v>8.6999999999999994E-2</v>
      </c>
      <c r="I149" s="556">
        <v>8.6999999999999994E-2</v>
      </c>
      <c r="J149" s="556">
        <v>7.5999999999999998E-2</v>
      </c>
      <c r="K149" s="556">
        <v>7.5999999999999998E-2</v>
      </c>
      <c r="L149" s="556">
        <v>6.6000000000000003E-2</v>
      </c>
      <c r="M149" s="556">
        <v>6.6000000000000003E-2</v>
      </c>
      <c r="N149" s="548"/>
      <c r="O149" s="548"/>
      <c r="P149" s="548"/>
      <c r="Q149" s="548"/>
      <c r="R149" s="548"/>
      <c r="S149" s="549"/>
      <c r="T149" s="479">
        <v>16</v>
      </c>
    </row>
    <row r="150" spans="2:20" ht="16.5" customHeight="1">
      <c r="B150" s="623"/>
      <c r="C150" s="623"/>
      <c r="D150" s="623"/>
      <c r="E150" s="625"/>
      <c r="F150" s="627"/>
      <c r="G150" s="231" t="s">
        <v>362</v>
      </c>
      <c r="H150" s="564">
        <v>9.2700000000000005E-2</v>
      </c>
      <c r="I150" s="564">
        <v>9.5500000000000002E-2</v>
      </c>
      <c r="J150" s="551"/>
      <c r="K150" s="551"/>
      <c r="L150" s="551"/>
      <c r="M150" s="551"/>
      <c r="N150" s="551"/>
      <c r="O150" s="551"/>
      <c r="P150" s="551"/>
      <c r="Q150" s="551"/>
      <c r="R150" s="551"/>
      <c r="S150" s="552"/>
      <c r="T150" s="479"/>
    </row>
    <row r="151" spans="2:20" ht="16.5" customHeight="1">
      <c r="B151" s="628" t="str">
        <f>VLOOKUP(T151,Table1[],4,0)</f>
        <v>MDR TB-8: Numărul cazurilor de XDR TB incluși în tratament în perioada raportată</v>
      </c>
      <c r="C151" s="628"/>
      <c r="D151" s="628"/>
      <c r="E151" s="629" t="str">
        <f>VLOOKUP(T151,Table1[],2,0)</f>
        <v>Indicator de proces</v>
      </c>
      <c r="F151" s="631" t="str">
        <f>VLOOKUP(T151,Table1[],3,0)</f>
        <v>TB</v>
      </c>
      <c r="G151" s="223" t="s">
        <v>361</v>
      </c>
      <c r="H151" s="535" t="s">
        <v>509</v>
      </c>
      <c r="I151" s="558">
        <v>86</v>
      </c>
      <c r="J151" s="554"/>
      <c r="K151" s="558">
        <v>81</v>
      </c>
      <c r="L151" s="553"/>
      <c r="M151" s="558">
        <v>75</v>
      </c>
      <c r="N151" s="553"/>
      <c r="O151" s="553"/>
      <c r="P151" s="553"/>
      <c r="Q151" s="553"/>
      <c r="R151" s="553"/>
      <c r="S151" s="555"/>
      <c r="T151" s="479">
        <v>17</v>
      </c>
    </row>
    <row r="152" spans="2:20" ht="16.5" customHeight="1">
      <c r="B152" s="628"/>
      <c r="C152" s="628"/>
      <c r="D152" s="628"/>
      <c r="E152" s="630"/>
      <c r="F152" s="632"/>
      <c r="G152" s="223" t="s">
        <v>362</v>
      </c>
      <c r="H152" s="530" t="s">
        <v>509</v>
      </c>
      <c r="I152" s="559">
        <v>71</v>
      </c>
      <c r="J152" s="554"/>
      <c r="K152" s="553"/>
      <c r="L152" s="553"/>
      <c r="M152" s="553"/>
      <c r="N152" s="553"/>
      <c r="O152" s="553"/>
      <c r="P152" s="553"/>
      <c r="Q152" s="553"/>
      <c r="R152" s="553"/>
      <c r="S152" s="555"/>
      <c r="T152" s="479"/>
    </row>
    <row r="153" spans="2:20" ht="16.5" customHeight="1">
      <c r="B153" s="623" t="str">
        <f>VLOOKUP(T153,Table1[],4,0)</f>
        <v xml:space="preserve">KP-1d(M): Procentul consumatorilor de droguri injectabile acoperiți de programele de prevenire HIV - pachet definit de servicii </v>
      </c>
      <c r="C153" s="623"/>
      <c r="D153" s="623"/>
      <c r="E153" s="624" t="str">
        <f>VLOOKUP(T153,Table1[],2,0)</f>
        <v>Indicator de proces</v>
      </c>
      <c r="F153" s="626" t="str">
        <f>VLOOKUP(T153,Table1[],3,0)</f>
        <v>HIV</v>
      </c>
      <c r="G153" s="231" t="s">
        <v>361</v>
      </c>
      <c r="H153" s="534" t="s">
        <v>509</v>
      </c>
      <c r="I153" s="556">
        <v>0.53100000000000003</v>
      </c>
      <c r="J153" s="534" t="s">
        <v>509</v>
      </c>
      <c r="K153" s="556">
        <v>0.56999999999999995</v>
      </c>
      <c r="L153" s="534" t="s">
        <v>509</v>
      </c>
      <c r="M153" s="556">
        <v>0.6</v>
      </c>
      <c r="N153" s="548"/>
      <c r="O153" s="548"/>
      <c r="P153" s="548"/>
      <c r="Q153" s="548"/>
      <c r="R153" s="548"/>
      <c r="S153" s="549"/>
      <c r="T153" s="479">
        <v>18</v>
      </c>
    </row>
    <row r="154" spans="2:20" ht="16.5" customHeight="1">
      <c r="B154" s="623"/>
      <c r="C154" s="623"/>
      <c r="D154" s="623"/>
      <c r="E154" s="625"/>
      <c r="F154" s="627"/>
      <c r="G154" s="231" t="s">
        <v>362</v>
      </c>
      <c r="H154" s="565" t="s">
        <v>509</v>
      </c>
      <c r="I154" s="522">
        <v>0.56399999999999995</v>
      </c>
      <c r="J154" s="534" t="s">
        <v>509</v>
      </c>
      <c r="K154" s="551"/>
      <c r="L154" s="534" t="s">
        <v>509</v>
      </c>
      <c r="M154" s="551"/>
      <c r="N154" s="551"/>
      <c r="O154" s="551"/>
      <c r="P154" s="551"/>
      <c r="Q154" s="551"/>
      <c r="R154" s="551"/>
      <c r="S154" s="552"/>
      <c r="T154" s="479"/>
    </row>
    <row r="155" spans="2:20" ht="16.5" customHeight="1">
      <c r="B155" s="628" t="str">
        <f>VLOOKUP(T155,Table1[],4,0)</f>
        <v>KP-3d(M): Procentul consumatorilor de droguri injectabile care au fost testați pentru HIV în perioada de raportare și își cunosc rezultatele</v>
      </c>
      <c r="C155" s="628"/>
      <c r="D155" s="628"/>
      <c r="E155" s="629" t="str">
        <f>VLOOKUP(T155,Table1[],2,0)</f>
        <v>Indicator de proces</v>
      </c>
      <c r="F155" s="631" t="str">
        <f>VLOOKUP(T155,Table1[],3,0)</f>
        <v>HIV</v>
      </c>
      <c r="G155" s="223" t="s">
        <v>361</v>
      </c>
      <c r="H155" s="535" t="s">
        <v>509</v>
      </c>
      <c r="I155" s="556">
        <v>0.254</v>
      </c>
      <c r="J155" s="534" t="s">
        <v>509</v>
      </c>
      <c r="K155" s="556">
        <v>0.31900000000000001</v>
      </c>
      <c r="L155" s="534" t="s">
        <v>509</v>
      </c>
      <c r="M155" s="556">
        <v>0.38400000000000001</v>
      </c>
      <c r="N155" s="553"/>
      <c r="O155" s="553"/>
      <c r="P155" s="553"/>
      <c r="Q155" s="553"/>
      <c r="R155" s="553"/>
      <c r="S155" s="555"/>
      <c r="T155" s="479">
        <v>19</v>
      </c>
    </row>
    <row r="156" spans="2:20" ht="16.5" customHeight="1">
      <c r="B156" s="628"/>
      <c r="C156" s="628"/>
      <c r="D156" s="628"/>
      <c r="E156" s="630"/>
      <c r="F156" s="632"/>
      <c r="G156" s="223" t="s">
        <v>362</v>
      </c>
      <c r="H156" s="566" t="s">
        <v>509</v>
      </c>
      <c r="I156" s="522">
        <v>0.27600000000000002</v>
      </c>
      <c r="J156" s="534" t="s">
        <v>509</v>
      </c>
      <c r="K156" s="561"/>
      <c r="L156" s="534" t="s">
        <v>509</v>
      </c>
      <c r="M156" s="561"/>
      <c r="N156" s="561"/>
      <c r="O156" s="561"/>
      <c r="P156" s="561"/>
      <c r="Q156" s="561"/>
      <c r="R156" s="561"/>
      <c r="S156" s="563"/>
      <c r="T156" s="479"/>
    </row>
    <row r="157" spans="2:20" ht="16.5" customHeight="1">
      <c r="B157" s="623" t="str">
        <f>VLOOKUP(T157,Table1[],4,0)</f>
        <v xml:space="preserve">KP-1c(M): Procentul LSC acoperiți de programele de prevenire HIV - pachet definit de servicii </v>
      </c>
      <c r="C157" s="623"/>
      <c r="D157" s="623"/>
      <c r="E157" s="624" t="str">
        <f>VLOOKUP(T157,Table1[],2,0)</f>
        <v>Indicator de proces</v>
      </c>
      <c r="F157" s="626" t="str">
        <f>VLOOKUP(T157,Table1[],3,0)</f>
        <v>HIV</v>
      </c>
      <c r="G157" s="231" t="s">
        <v>361</v>
      </c>
      <c r="H157" s="534" t="s">
        <v>509</v>
      </c>
      <c r="I157" s="556">
        <v>0.48</v>
      </c>
      <c r="J157" s="534" t="s">
        <v>509</v>
      </c>
      <c r="K157" s="556">
        <v>0.54</v>
      </c>
      <c r="L157" s="534" t="s">
        <v>509</v>
      </c>
      <c r="M157" s="556">
        <v>0.6</v>
      </c>
      <c r="N157" s="548"/>
      <c r="O157" s="548"/>
      <c r="P157" s="548"/>
      <c r="Q157" s="548"/>
      <c r="R157" s="548"/>
      <c r="S157" s="549"/>
      <c r="T157" s="479">
        <v>20</v>
      </c>
    </row>
    <row r="158" spans="2:20" ht="16.5" customHeight="1">
      <c r="B158" s="623"/>
      <c r="C158" s="623"/>
      <c r="D158" s="623"/>
      <c r="E158" s="625"/>
      <c r="F158" s="627"/>
      <c r="G158" s="231" t="s">
        <v>362</v>
      </c>
      <c r="H158" s="565" t="s">
        <v>509</v>
      </c>
      <c r="I158" s="522">
        <v>0.39300000000000002</v>
      </c>
      <c r="J158" s="534" t="s">
        <v>509</v>
      </c>
      <c r="K158" s="551"/>
      <c r="L158" s="534" t="s">
        <v>509</v>
      </c>
      <c r="M158" s="551"/>
      <c r="N158" s="551"/>
      <c r="O158" s="551"/>
      <c r="P158" s="551"/>
      <c r="Q158" s="551"/>
      <c r="R158" s="551"/>
      <c r="S158" s="552"/>
      <c r="T158" s="479"/>
    </row>
    <row r="159" spans="2:20" ht="16.5" customHeight="1">
      <c r="B159" s="628" t="str">
        <f>VLOOKUP(T159,Table1[],4,0)</f>
        <v>KP-3c(M): Procentul LSC care au fost testați pentru HIV în perioada de raportare și își cunosc rezultatele</v>
      </c>
      <c r="C159" s="628"/>
      <c r="D159" s="628"/>
      <c r="E159" s="629" t="str">
        <f>VLOOKUP(T159,Table1[],2,0)</f>
        <v>Indicator de proces</v>
      </c>
      <c r="F159" s="631" t="str">
        <f>VLOOKUP(T159,Table1[],3,0)</f>
        <v>HIV</v>
      </c>
      <c r="G159" s="223" t="s">
        <v>361</v>
      </c>
      <c r="H159" s="535" t="s">
        <v>509</v>
      </c>
      <c r="I159" s="556">
        <v>0.23100000000000001</v>
      </c>
      <c r="J159" s="534" t="s">
        <v>509</v>
      </c>
      <c r="K159" s="556">
        <v>0.30299999999999999</v>
      </c>
      <c r="L159" s="534" t="s">
        <v>509</v>
      </c>
      <c r="M159" s="556">
        <v>0.38400000000000001</v>
      </c>
      <c r="N159" s="553"/>
      <c r="O159" s="553"/>
      <c r="P159" s="553"/>
      <c r="Q159" s="553"/>
      <c r="R159" s="553"/>
      <c r="S159" s="555"/>
      <c r="T159" s="479">
        <v>21</v>
      </c>
    </row>
    <row r="160" spans="2:20" ht="16.5" customHeight="1">
      <c r="B160" s="628"/>
      <c r="C160" s="628"/>
      <c r="D160" s="628"/>
      <c r="E160" s="630"/>
      <c r="F160" s="632"/>
      <c r="G160" s="223" t="s">
        <v>362</v>
      </c>
      <c r="H160" s="566" t="s">
        <v>509</v>
      </c>
      <c r="I160" s="522">
        <v>0.255</v>
      </c>
      <c r="J160" s="534" t="s">
        <v>509</v>
      </c>
      <c r="K160" s="561"/>
      <c r="L160" s="534" t="s">
        <v>509</v>
      </c>
      <c r="M160" s="561"/>
      <c r="N160" s="561"/>
      <c r="O160" s="561"/>
      <c r="P160" s="561"/>
      <c r="Q160" s="561"/>
      <c r="R160" s="561"/>
      <c r="S160" s="563"/>
      <c r="T160" s="479"/>
    </row>
    <row r="161" spans="2:21" ht="16.5" customHeight="1">
      <c r="B161" s="623" t="str">
        <f>VLOOKUP(T161,Table1[],4,0)</f>
        <v xml:space="preserve">KP-1a(M): Procentul BSB acoperiți de programele de prevenire HIV - pachet definit de servicii </v>
      </c>
      <c r="C161" s="623"/>
      <c r="D161" s="623"/>
      <c r="E161" s="624" t="str">
        <f>VLOOKUP(T161,Table1[],2,0)</f>
        <v>Indicator de proces</v>
      </c>
      <c r="F161" s="626" t="str">
        <f>VLOOKUP(T161,Table1[],3,0)</f>
        <v>HIV</v>
      </c>
      <c r="G161" s="231" t="s">
        <v>361</v>
      </c>
      <c r="H161" s="534" t="s">
        <v>509</v>
      </c>
      <c r="I161" s="556">
        <v>0.32</v>
      </c>
      <c r="J161" s="534" t="s">
        <v>509</v>
      </c>
      <c r="K161" s="556">
        <v>0.36</v>
      </c>
      <c r="L161" s="534" t="s">
        <v>509</v>
      </c>
      <c r="M161" s="556">
        <v>0.4</v>
      </c>
      <c r="N161" s="548"/>
      <c r="O161" s="548"/>
      <c r="P161" s="548"/>
      <c r="Q161" s="548"/>
      <c r="R161" s="548"/>
      <c r="S161" s="549"/>
      <c r="T161" s="479">
        <v>22</v>
      </c>
    </row>
    <row r="162" spans="2:21" ht="16.5" customHeight="1">
      <c r="B162" s="623"/>
      <c r="C162" s="623"/>
      <c r="D162" s="623"/>
      <c r="E162" s="625"/>
      <c r="F162" s="627"/>
      <c r="G162" s="231" t="s">
        <v>362</v>
      </c>
      <c r="H162" s="565" t="s">
        <v>509</v>
      </c>
      <c r="I162" s="522">
        <v>0.27100000000000002</v>
      </c>
      <c r="J162" s="534" t="s">
        <v>509</v>
      </c>
      <c r="K162" s="551"/>
      <c r="L162" s="534" t="s">
        <v>509</v>
      </c>
      <c r="M162" s="551"/>
      <c r="N162" s="551"/>
      <c r="O162" s="551"/>
      <c r="P162" s="551"/>
      <c r="Q162" s="551"/>
      <c r="R162" s="551"/>
      <c r="S162" s="552"/>
      <c r="T162" s="479"/>
    </row>
    <row r="163" spans="2:21" ht="16.5" customHeight="1">
      <c r="B163" s="628" t="str">
        <f>VLOOKUP(T163,Table1[],4,0)</f>
        <v>KP-3a(M): Procentul BSB care au fost testați pentru HIV în perioada de raportare și își cunosc rezultatele</v>
      </c>
      <c r="C163" s="628"/>
      <c r="D163" s="628"/>
      <c r="E163" s="629" t="str">
        <f>VLOOKUP(T163,Table1[],2,0)</f>
        <v>Indicator de proces</v>
      </c>
      <c r="F163" s="631" t="str">
        <f>VLOOKUP(T163,Table1[],3,0)</f>
        <v>HIV</v>
      </c>
      <c r="G163" s="223" t="s">
        <v>361</v>
      </c>
      <c r="H163" s="535" t="s">
        <v>509</v>
      </c>
      <c r="I163" s="556">
        <v>0.17100000000000001</v>
      </c>
      <c r="J163" s="534" t="s">
        <v>509</v>
      </c>
      <c r="K163" s="556">
        <v>0.22600000000000001</v>
      </c>
      <c r="L163" s="534" t="s">
        <v>509</v>
      </c>
      <c r="M163" s="556">
        <v>0.28799999999999998</v>
      </c>
      <c r="N163" s="553"/>
      <c r="O163" s="553"/>
      <c r="P163" s="553"/>
      <c r="Q163" s="553"/>
      <c r="R163" s="553"/>
      <c r="S163" s="555"/>
      <c r="T163" s="479">
        <v>23</v>
      </c>
    </row>
    <row r="164" spans="2:21" ht="16.5" customHeight="1">
      <c r="B164" s="628"/>
      <c r="C164" s="628"/>
      <c r="D164" s="628"/>
      <c r="E164" s="630"/>
      <c r="F164" s="632"/>
      <c r="G164" s="223" t="s">
        <v>362</v>
      </c>
      <c r="H164" s="566" t="s">
        <v>509</v>
      </c>
      <c r="I164" s="522">
        <v>0.16700000000000001</v>
      </c>
      <c r="J164" s="534" t="s">
        <v>509</v>
      </c>
      <c r="K164" s="561"/>
      <c r="L164" s="534" t="s">
        <v>509</v>
      </c>
      <c r="M164" s="561"/>
      <c r="N164" s="561"/>
      <c r="O164" s="561"/>
      <c r="P164" s="561"/>
      <c r="Q164" s="561"/>
      <c r="R164" s="561"/>
      <c r="S164" s="563"/>
      <c r="T164" s="479"/>
    </row>
    <row r="165" spans="2:21" ht="16.5" customHeight="1">
      <c r="B165" s="623" t="str">
        <f>VLOOKUP(T165,Table1[],4,0)</f>
        <v xml:space="preserve">TCS-1 (M): Procentul adulţilor şi copiilor care trăiesc cu HIV și urmează tratament antiretroviral </v>
      </c>
      <c r="C165" s="623"/>
      <c r="D165" s="623"/>
      <c r="E165" s="624" t="str">
        <f>VLOOKUP(T165,Table1[],2,0)</f>
        <v>Indicator de proces</v>
      </c>
      <c r="F165" s="626" t="str">
        <f>VLOOKUP(T165,Table1[],3,0)</f>
        <v>HIV</v>
      </c>
      <c r="G165" s="231" t="s">
        <v>361</v>
      </c>
      <c r="H165" s="534" t="s">
        <v>509</v>
      </c>
      <c r="I165" s="556">
        <v>0.34499999999999997</v>
      </c>
      <c r="J165" s="534" t="s">
        <v>509</v>
      </c>
      <c r="K165" s="556">
        <v>0.41399999999999998</v>
      </c>
      <c r="L165" s="534" t="s">
        <v>509</v>
      </c>
      <c r="M165" s="556">
        <v>0.49199999999999999</v>
      </c>
      <c r="N165" s="548"/>
      <c r="O165" s="548"/>
      <c r="P165" s="548"/>
      <c r="Q165" s="548"/>
      <c r="R165" s="548"/>
      <c r="S165" s="549"/>
      <c r="T165" s="479">
        <v>24</v>
      </c>
    </row>
    <row r="166" spans="2:21" ht="16.5" customHeight="1">
      <c r="B166" s="623"/>
      <c r="C166" s="623"/>
      <c r="D166" s="623"/>
      <c r="E166" s="625"/>
      <c r="F166" s="627"/>
      <c r="G166" s="231" t="s">
        <v>362</v>
      </c>
      <c r="H166" s="565" t="s">
        <v>509</v>
      </c>
      <c r="I166" s="522">
        <v>0.37</v>
      </c>
      <c r="J166" s="565" t="s">
        <v>509</v>
      </c>
      <c r="K166" s="551"/>
      <c r="L166" s="565" t="s">
        <v>509</v>
      </c>
      <c r="M166" s="551"/>
      <c r="N166" s="551"/>
      <c r="O166" s="551"/>
      <c r="P166" s="551"/>
      <c r="Q166" s="551"/>
      <c r="R166" s="551"/>
      <c r="S166" s="552"/>
      <c r="T166" s="479"/>
    </row>
    <row r="167" spans="2:21">
      <c r="G167" s="2"/>
      <c r="N167" s="3"/>
      <c r="O167" s="3"/>
      <c r="R167" s="238"/>
      <c r="S167" s="238"/>
    </row>
    <row r="168" spans="2:21" ht="16.5" thickBot="1">
      <c r="B168" s="178"/>
      <c r="G168" s="2"/>
      <c r="N168" s="3"/>
      <c r="O168" s="3"/>
      <c r="R168" s="238"/>
      <c r="S168" s="238"/>
    </row>
    <row r="169" spans="2:21" ht="41.25" hidden="1" customHeight="1">
      <c r="B169" s="3" t="s">
        <v>411</v>
      </c>
      <c r="E169" s="177" t="s">
        <v>364</v>
      </c>
      <c r="F169" s="234" t="s">
        <v>365</v>
      </c>
      <c r="G169" s="139"/>
      <c r="H169" s="477" t="str">
        <f t="shared" ref="H169:S169" si="11">C30</f>
        <v>P1</v>
      </c>
      <c r="I169" s="477" t="str">
        <f t="shared" si="11"/>
        <v>P2</v>
      </c>
      <c r="J169" s="477" t="str">
        <f t="shared" si="11"/>
        <v>P3</v>
      </c>
      <c r="K169" s="477" t="str">
        <f t="shared" si="11"/>
        <v>P4</v>
      </c>
      <c r="L169" s="477" t="str">
        <f t="shared" si="11"/>
        <v>P5</v>
      </c>
      <c r="M169" s="477" t="str">
        <f t="shared" si="11"/>
        <v>P6</v>
      </c>
      <c r="N169" s="477" t="str">
        <f t="shared" si="11"/>
        <v>P7</v>
      </c>
      <c r="O169" s="477" t="str">
        <f t="shared" si="11"/>
        <v>P8</v>
      </c>
      <c r="P169" s="477" t="str">
        <f t="shared" si="11"/>
        <v>P9</v>
      </c>
      <c r="Q169" s="477" t="str">
        <f t="shared" si="11"/>
        <v>P10</v>
      </c>
      <c r="R169" s="477" t="str">
        <f t="shared" si="11"/>
        <v>P11</v>
      </c>
      <c r="S169" s="478" t="str">
        <f t="shared" si="11"/>
        <v>P12</v>
      </c>
      <c r="T169" s="238"/>
      <c r="U169" s="238"/>
    </row>
    <row r="170" spans="2:21" ht="25.5" hidden="1" customHeight="1">
      <c r="B170" s="669" t="str">
        <f>IF(ISBLANK(B119),"",(B119))</f>
        <v>TB I-3(M): Rata mortalităţii  - Numărul estimat de decese cauzate de TB (toate formele) pe an, la 100,000 persoane</v>
      </c>
      <c r="C170" s="685"/>
      <c r="D170" s="686"/>
      <c r="E170" s="698" t="str">
        <f>IF(ISBLANK(E119),"",(E119))</f>
        <v>Indicator de impact</v>
      </c>
      <c r="F170" s="697" t="str">
        <f>IF(ISBLANK(F119),"",(F119))</f>
        <v>TB</v>
      </c>
      <c r="G170" s="230" t="s">
        <v>361</v>
      </c>
      <c r="H170" s="320">
        <f t="shared" ref="H170:L175" si="12">H119</f>
        <v>8.6999999999999993</v>
      </c>
      <c r="I170" s="320">
        <f t="shared" si="12"/>
        <v>8.1999999999999993</v>
      </c>
      <c r="J170" s="320">
        <f t="shared" si="12"/>
        <v>8.1999999999999993</v>
      </c>
      <c r="K170" s="320">
        <f t="shared" si="12"/>
        <v>7.7</v>
      </c>
      <c r="L170" s="320">
        <f t="shared" si="12"/>
        <v>7.7</v>
      </c>
      <c r="M170" s="320">
        <f t="shared" ref="M170:S175" si="13">M119</f>
        <v>7.2</v>
      </c>
      <c r="N170" s="320">
        <f t="shared" si="13"/>
        <v>7.2</v>
      </c>
      <c r="O170" s="320">
        <f t="shared" si="13"/>
        <v>0</v>
      </c>
      <c r="P170" s="320">
        <f t="shared" si="13"/>
        <v>0</v>
      </c>
      <c r="Q170" s="320">
        <f t="shared" si="13"/>
        <v>0</v>
      </c>
      <c r="R170" s="320">
        <f t="shared" si="13"/>
        <v>0</v>
      </c>
      <c r="S170" s="321">
        <f t="shared" si="13"/>
        <v>0</v>
      </c>
      <c r="T170" s="238"/>
      <c r="U170" s="238"/>
    </row>
    <row r="171" spans="2:21" ht="25.5" hidden="1" customHeight="1">
      <c r="B171" s="687"/>
      <c r="C171" s="688"/>
      <c r="D171" s="689"/>
      <c r="E171" s="698"/>
      <c r="F171" s="697"/>
      <c r="G171" s="230" t="s">
        <v>362</v>
      </c>
      <c r="H171" s="322">
        <f t="shared" si="12"/>
        <v>7.94</v>
      </c>
      <c r="I171" s="322">
        <f t="shared" si="12"/>
        <v>7.54</v>
      </c>
      <c r="J171" s="322">
        <f t="shared" si="12"/>
        <v>0</v>
      </c>
      <c r="K171" s="322">
        <f t="shared" si="12"/>
        <v>0</v>
      </c>
      <c r="L171" s="322">
        <f t="shared" si="12"/>
        <v>0</v>
      </c>
      <c r="M171" s="320">
        <f t="shared" si="13"/>
        <v>0</v>
      </c>
      <c r="N171" s="320">
        <f t="shared" si="13"/>
        <v>0</v>
      </c>
      <c r="O171" s="320">
        <f t="shared" si="13"/>
        <v>0</v>
      </c>
      <c r="P171" s="320">
        <f t="shared" si="13"/>
        <v>0</v>
      </c>
      <c r="Q171" s="320">
        <f t="shared" si="13"/>
        <v>0</v>
      </c>
      <c r="R171" s="320">
        <f t="shared" si="13"/>
        <v>0</v>
      </c>
      <c r="S171" s="321">
        <f t="shared" si="13"/>
        <v>0</v>
      </c>
      <c r="T171" s="238"/>
      <c r="U171" s="238"/>
    </row>
    <row r="172" spans="2:21" ht="26.25" hidden="1" customHeight="1">
      <c r="B172" s="676" t="str">
        <f>IF(ISBLANK(B121),"",(B121))</f>
        <v xml:space="preserve">TB I-4(M): Prevalența TB MDR printre cazurile noi de tuberculoză </v>
      </c>
      <c r="C172" s="677"/>
      <c r="D172" s="678"/>
      <c r="E172" s="675" t="str">
        <f>IF(ISBLANK(E121),"",(E121))</f>
        <v>Indicator de impact</v>
      </c>
      <c r="F172" s="696" t="str">
        <f>IF(ISBLANK(F121),"",(F121))</f>
        <v>TB</v>
      </c>
      <c r="G172" s="231" t="s">
        <v>361</v>
      </c>
      <c r="H172" s="323">
        <f t="shared" si="12"/>
        <v>0.20499999999999999</v>
      </c>
      <c r="I172" s="323">
        <f t="shared" si="12"/>
        <v>0.24</v>
      </c>
      <c r="J172" s="323">
        <f t="shared" si="12"/>
        <v>0.24</v>
      </c>
      <c r="K172" s="323">
        <f t="shared" si="12"/>
        <v>0.23</v>
      </c>
      <c r="L172" s="323">
        <f t="shared" si="12"/>
        <v>0.23</v>
      </c>
      <c r="M172" s="323">
        <f t="shared" si="13"/>
        <v>0.21</v>
      </c>
      <c r="N172" s="323">
        <f t="shared" si="13"/>
        <v>0.21</v>
      </c>
      <c r="O172" s="323">
        <f t="shared" si="13"/>
        <v>0</v>
      </c>
      <c r="P172" s="323">
        <f t="shared" si="13"/>
        <v>0</v>
      </c>
      <c r="Q172" s="323">
        <f t="shared" si="13"/>
        <v>0</v>
      </c>
      <c r="R172" s="323">
        <f t="shared" si="13"/>
        <v>0</v>
      </c>
      <c r="S172" s="324">
        <f t="shared" si="13"/>
        <v>0</v>
      </c>
      <c r="T172" s="238"/>
      <c r="U172" s="238"/>
    </row>
    <row r="173" spans="2:21" ht="28.5" hidden="1" customHeight="1">
      <c r="B173" s="679"/>
      <c r="C173" s="680"/>
      <c r="D173" s="681"/>
      <c r="E173" s="675"/>
      <c r="F173" s="696"/>
      <c r="G173" s="231" t="s">
        <v>362</v>
      </c>
      <c r="H173" s="323">
        <f t="shared" si="12"/>
        <v>0.26600000000000001</v>
      </c>
      <c r="I173" s="323">
        <f t="shared" si="12"/>
        <v>0.27600000000000002</v>
      </c>
      <c r="J173" s="323">
        <f t="shared" si="12"/>
        <v>0</v>
      </c>
      <c r="K173" s="323">
        <f t="shared" si="12"/>
        <v>0</v>
      </c>
      <c r="L173" s="323">
        <f t="shared" si="12"/>
        <v>0</v>
      </c>
      <c r="M173" s="323">
        <f t="shared" si="13"/>
        <v>0</v>
      </c>
      <c r="N173" s="323">
        <f t="shared" si="13"/>
        <v>0</v>
      </c>
      <c r="O173" s="323">
        <f t="shared" si="13"/>
        <v>0</v>
      </c>
      <c r="P173" s="323">
        <f t="shared" si="13"/>
        <v>0</v>
      </c>
      <c r="Q173" s="323">
        <f t="shared" si="13"/>
        <v>0</v>
      </c>
      <c r="R173" s="323">
        <f t="shared" si="13"/>
        <v>0</v>
      </c>
      <c r="S173" s="324">
        <f t="shared" si="13"/>
        <v>0</v>
      </c>
      <c r="T173" s="238"/>
      <c r="U173" s="238"/>
    </row>
    <row r="174" spans="2:21" ht="31.5" hidden="1" customHeight="1">
      <c r="B174" s="669" t="str">
        <f>IF(ISBLANK(B123),"",(B123))</f>
        <v>HIV I-4: Mortalitatea asociată cu SIDA la 100,000 populaţie</v>
      </c>
      <c r="C174" s="670"/>
      <c r="D174" s="671"/>
      <c r="E174" s="692" t="str">
        <f>IF(ISBLANK(E123),"",(E123))</f>
        <v>Indicator de impact</v>
      </c>
      <c r="F174" s="690" t="str">
        <f>IF(ISBLANK(F123),"",(F123))</f>
        <v>HIV</v>
      </c>
      <c r="G174" s="230" t="s">
        <v>361</v>
      </c>
      <c r="H174" s="320">
        <f t="shared" si="12"/>
        <v>3.0599999999999999E-2</v>
      </c>
      <c r="I174" s="320" t="str">
        <f t="shared" ref="I174:L174" si="14">I123</f>
        <v>n/a</v>
      </c>
      <c r="J174" s="320">
        <f t="shared" si="14"/>
        <v>3.7999999999999999E-2</v>
      </c>
      <c r="K174" s="320" t="str">
        <f t="shared" si="14"/>
        <v>n/a</v>
      </c>
      <c r="L174" s="320">
        <f t="shared" si="14"/>
        <v>3.6999999999999998E-2</v>
      </c>
      <c r="M174" s="320" t="str">
        <f t="shared" si="13"/>
        <v>n/a</v>
      </c>
      <c r="N174" s="320">
        <f t="shared" si="13"/>
        <v>3.5999999999999997E-2</v>
      </c>
      <c r="O174" s="320">
        <f t="shared" si="13"/>
        <v>0</v>
      </c>
      <c r="P174" s="320">
        <f t="shared" si="13"/>
        <v>0</v>
      </c>
      <c r="Q174" s="320">
        <f t="shared" si="13"/>
        <v>0</v>
      </c>
      <c r="R174" s="320">
        <f t="shared" si="13"/>
        <v>0</v>
      </c>
      <c r="S174" s="321">
        <f t="shared" si="13"/>
        <v>0</v>
      </c>
      <c r="T174" s="238"/>
      <c r="U174" s="238"/>
    </row>
    <row r="175" spans="2:21" ht="30.75" hidden="1" customHeight="1" thickBot="1">
      <c r="B175" s="672"/>
      <c r="C175" s="673"/>
      <c r="D175" s="674"/>
      <c r="E175" s="693"/>
      <c r="F175" s="691"/>
      <c r="G175" s="235" t="s">
        <v>362</v>
      </c>
      <c r="H175" s="325">
        <f t="shared" si="12"/>
        <v>3.5999999999999997E-2</v>
      </c>
      <c r="I175" s="325" t="str">
        <f t="shared" ref="I175:L175" si="15">I124</f>
        <v>n/a</v>
      </c>
      <c r="J175" s="325">
        <f t="shared" si="15"/>
        <v>0</v>
      </c>
      <c r="K175" s="325">
        <f t="shared" si="15"/>
        <v>0</v>
      </c>
      <c r="L175" s="325">
        <f t="shared" si="15"/>
        <v>0</v>
      </c>
      <c r="M175" s="325">
        <f t="shared" si="13"/>
        <v>0</v>
      </c>
      <c r="N175" s="325">
        <f t="shared" si="13"/>
        <v>0</v>
      </c>
      <c r="O175" s="325">
        <f t="shared" si="13"/>
        <v>0</v>
      </c>
      <c r="P175" s="325">
        <f t="shared" si="13"/>
        <v>0</v>
      </c>
      <c r="Q175" s="325">
        <f t="shared" si="13"/>
        <v>0</v>
      </c>
      <c r="R175" s="325">
        <f t="shared" si="13"/>
        <v>0</v>
      </c>
      <c r="S175" s="326">
        <f t="shared" si="13"/>
        <v>0</v>
      </c>
      <c r="T175" s="238"/>
      <c r="U175" s="238"/>
    </row>
    <row r="176" spans="2:21">
      <c r="N176" s="3"/>
      <c r="O176" s="3"/>
      <c r="P176" s="238"/>
      <c r="Q176" s="238"/>
      <c r="S176" s="480"/>
    </row>
    <row r="177" spans="14:17">
      <c r="N177" s="3"/>
      <c r="O177" s="3"/>
      <c r="P177" s="238"/>
      <c r="Q177" s="238"/>
    </row>
    <row r="178" spans="14:17">
      <c r="N178" s="3"/>
      <c r="O178" s="3"/>
      <c r="P178" s="238"/>
      <c r="Q178" s="238"/>
    </row>
    <row r="179" spans="14:17">
      <c r="N179" s="3"/>
      <c r="O179" s="3"/>
      <c r="P179" s="238"/>
      <c r="Q179" s="238"/>
    </row>
  </sheetData>
  <sheetProtection sheet="1" objects="1" scenarios="1"/>
  <dataConsolidate link="1"/>
  <mergeCells count="113">
    <mergeCell ref="E137:E138"/>
    <mergeCell ref="F137:F138"/>
    <mergeCell ref="B139:D140"/>
    <mergeCell ref="E139:E140"/>
    <mergeCell ref="F139:F140"/>
    <mergeCell ref="B125:D126"/>
    <mergeCell ref="O31:O34"/>
    <mergeCell ref="E119:E120"/>
    <mergeCell ref="F119:F120"/>
    <mergeCell ref="F121:F122"/>
    <mergeCell ref="E121:E122"/>
    <mergeCell ref="F129:F130"/>
    <mergeCell ref="B119:D120"/>
    <mergeCell ref="F123:F124"/>
    <mergeCell ref="B121:D122"/>
    <mergeCell ref="B75:C75"/>
    <mergeCell ref="E125:E126"/>
    <mergeCell ref="F125:F126"/>
    <mergeCell ref="E123:E124"/>
    <mergeCell ref="B73:C73"/>
    <mergeCell ref="F127:F128"/>
    <mergeCell ref="B110:B113"/>
    <mergeCell ref="E10:F10"/>
    <mergeCell ref="B174:D175"/>
    <mergeCell ref="E172:E173"/>
    <mergeCell ref="B172:D173"/>
    <mergeCell ref="B127:D128"/>
    <mergeCell ref="B129:D130"/>
    <mergeCell ref="B133:D134"/>
    <mergeCell ref="E127:E128"/>
    <mergeCell ref="E129:E130"/>
    <mergeCell ref="B135:D136"/>
    <mergeCell ref="B170:D171"/>
    <mergeCell ref="E135:E136"/>
    <mergeCell ref="B131:D132"/>
    <mergeCell ref="F174:F175"/>
    <mergeCell ref="E174:E175"/>
    <mergeCell ref="F133:F134"/>
    <mergeCell ref="E133:E134"/>
    <mergeCell ref="F131:F132"/>
    <mergeCell ref="E131:E132"/>
    <mergeCell ref="F172:F173"/>
    <mergeCell ref="F170:F171"/>
    <mergeCell ref="F135:F136"/>
    <mergeCell ref="E170:E171"/>
    <mergeCell ref="B137:D138"/>
    <mergeCell ref="B26:C26"/>
    <mergeCell ref="D24:E24"/>
    <mergeCell ref="B29:N29"/>
    <mergeCell ref="B62:D62"/>
    <mergeCell ref="G24:H24"/>
    <mergeCell ref="I24:J24"/>
    <mergeCell ref="B123:D124"/>
    <mergeCell ref="B18:C18"/>
    <mergeCell ref="D18:F18"/>
    <mergeCell ref="B21:J21"/>
    <mergeCell ref="B141:D142"/>
    <mergeCell ref="E141:E142"/>
    <mergeCell ref="F141:F142"/>
    <mergeCell ref="B143:D144"/>
    <mergeCell ref="E143:E144"/>
    <mergeCell ref="F143:F144"/>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4:C74"/>
    <mergeCell ref="B118:D118"/>
    <mergeCell ref="B145:D146"/>
    <mergeCell ref="E145:E146"/>
    <mergeCell ref="F145:F146"/>
    <mergeCell ref="B147:D148"/>
    <mergeCell ref="E147:E148"/>
    <mergeCell ref="F147:F148"/>
    <mergeCell ref="E155:E156"/>
    <mergeCell ref="F155:F156"/>
    <mergeCell ref="B149:D150"/>
    <mergeCell ref="E149:E150"/>
    <mergeCell ref="F149:F150"/>
    <mergeCell ref="B151:D152"/>
    <mergeCell ref="E151:E152"/>
    <mergeCell ref="F151:F152"/>
    <mergeCell ref="B157:D158"/>
    <mergeCell ref="E157:E158"/>
    <mergeCell ref="F157:F158"/>
    <mergeCell ref="B159:D160"/>
    <mergeCell ref="E159:E160"/>
    <mergeCell ref="F159:F160"/>
    <mergeCell ref="B153:D154"/>
    <mergeCell ref="B165:D166"/>
    <mergeCell ref="E165:E166"/>
    <mergeCell ref="F165:F166"/>
    <mergeCell ref="B161:D162"/>
    <mergeCell ref="E161:E162"/>
    <mergeCell ref="F161:F162"/>
    <mergeCell ref="B163:D164"/>
    <mergeCell ref="E163:E164"/>
    <mergeCell ref="F163:F164"/>
    <mergeCell ref="E153:E154"/>
    <mergeCell ref="F153:F154"/>
    <mergeCell ref="B155:D156"/>
  </mergeCells>
  <phoneticPr fontId="23" type="noConversion"/>
  <conditionalFormatting sqref="B34 B32 E32:H32 D33:N33">
    <cfRule type="expression" dxfId="57" priority="6" stopIfTrue="1">
      <formula>+AND(B31&gt;=#REF!,B31&lt;=#REF!)</formula>
    </cfRule>
  </conditionalFormatting>
  <conditionalFormatting sqref="D34:N34">
    <cfRule type="expression" dxfId="56" priority="7" stopIfTrue="1">
      <formula>+AND(D32&gt;=#REF!,D32&lt;=#REF!)</formula>
    </cfRule>
  </conditionalFormatting>
  <conditionalFormatting sqref="C30:N30 C96:N96">
    <cfRule type="cellIs" dxfId="55" priority="10" stopIfTrue="1" operator="equal">
      <formula>$C$16</formula>
    </cfRule>
  </conditionalFormatting>
  <conditionalFormatting sqref="C12:D12">
    <cfRule type="cellIs" dxfId="54" priority="12" stopIfTrue="1" operator="equal">
      <formula>"C"</formula>
    </cfRule>
    <cfRule type="cellIs" dxfId="53" priority="13" stopIfTrue="1" operator="equal">
      <formula>"B2"</formula>
    </cfRule>
    <cfRule type="cellIs" dxfId="52" priority="14" stopIfTrue="1" operator="equal">
      <formula>"B1"</formula>
    </cfRule>
  </conditionalFormatting>
  <conditionalFormatting sqref="H169:S169 H118:S118">
    <cfRule type="cellIs" dxfId="51" priority="21" stopIfTrue="1" operator="equal">
      <formula>$C$16</formula>
    </cfRule>
  </conditionalFormatting>
  <conditionalFormatting sqref="C34">
    <cfRule type="expression" dxfId="50" priority="1" stopIfTrue="1">
      <formula>+AND(C32&gt;=#REF!,C32&lt;=#REF!)</formula>
    </cfRule>
  </conditionalFormatting>
  <dataValidations count="9">
    <dataValidation type="list" allowBlank="1" showInputMessage="1" showErrorMessage="1" sqref="B110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0:C113"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0" max="16383" man="1"/>
    <brk id="106" max="14" man="1"/>
  </rowBreaks>
  <ignoredErrors>
    <ignoredError sqref="H169:S169 E17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K10" sqref="K10"/>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149"/>
      <c r="H1" s="2"/>
      <c r="I1" s="2"/>
      <c r="J1" s="2"/>
    </row>
    <row r="2" spans="1:24" ht="25.5" customHeight="1"/>
    <row r="3" spans="1:24" ht="36">
      <c r="B3" s="722" t="str">
        <f>+"Tabel Programatic de Evaluare: "&amp;" "&amp;+IF('Introducerea datelor'!C4="Please Select","",'Introducerea datelor'!C4&amp;" - ")&amp;+IF('Introducerea datelor'!G6="Please Select","",'Introducerea datelor'!G6)</f>
        <v>Tabel Programatic de Evaluare:  Moldova - HIVAIDS / TB</v>
      </c>
      <c r="C3" s="722"/>
      <c r="D3" s="722"/>
      <c r="E3" s="722"/>
      <c r="F3" s="722"/>
      <c r="G3" s="722"/>
      <c r="H3" s="722"/>
      <c r="I3" s="722"/>
      <c r="J3" s="72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424" t="s">
        <v>279</v>
      </c>
      <c r="B6" s="724" t="str">
        <f>+IF('Introducerea datelor'!C4="Please Select","",'Introducerea datelor'!C4)</f>
        <v>Moldova</v>
      </c>
      <c r="C6" s="724"/>
      <c r="D6" s="728" t="s">
        <v>283</v>
      </c>
      <c r="E6" s="728"/>
      <c r="F6" s="729" t="str">
        <f>+'Introducerea datelor'!G4</f>
        <v>Consolidarea controlului tuberculozei și reducerea SIDA și a mortalității aferente în Republica Moldova</v>
      </c>
      <c r="G6" s="729"/>
      <c r="H6" s="729"/>
      <c r="I6" s="729"/>
      <c r="J6" s="729"/>
      <c r="K6" s="32"/>
      <c r="L6" s="53"/>
      <c r="M6" s="32"/>
      <c r="N6" s="32"/>
      <c r="O6" s="32"/>
      <c r="P6" s="33"/>
      <c r="Q6" s="17"/>
      <c r="R6" s="17"/>
      <c r="S6" s="17"/>
      <c r="T6" s="17"/>
      <c r="U6" s="17"/>
    </row>
    <row r="7" spans="1:24" ht="8.25" customHeight="1">
      <c r="B7" s="6"/>
      <c r="C7" s="7"/>
      <c r="D7" s="7"/>
      <c r="E7" s="8"/>
      <c r="F7" s="8"/>
      <c r="G7" s="9"/>
      <c r="H7" s="9"/>
      <c r="K7" s="32"/>
      <c r="L7" s="32"/>
      <c r="M7" s="32"/>
      <c r="N7" s="32"/>
      <c r="O7" s="32"/>
      <c r="P7" s="33"/>
      <c r="Q7" s="17"/>
      <c r="R7" s="17"/>
      <c r="S7" s="17"/>
      <c r="T7" s="17"/>
      <c r="U7" s="17"/>
    </row>
    <row r="8" spans="1:24" ht="3.75" customHeight="1">
      <c r="C8" s="10"/>
      <c r="D8" s="10"/>
      <c r="E8" s="10"/>
      <c r="F8" s="10"/>
      <c r="G8" s="10"/>
      <c r="H8" s="10"/>
      <c r="I8" s="10"/>
      <c r="J8" s="10"/>
      <c r="K8" s="32"/>
      <c r="L8" s="32"/>
      <c r="M8" s="32"/>
      <c r="N8" s="32"/>
      <c r="O8" s="34"/>
      <c r="P8" s="33"/>
      <c r="Q8" s="34"/>
      <c r="R8" s="35"/>
      <c r="S8" s="17"/>
      <c r="T8" s="17"/>
      <c r="U8" s="17"/>
    </row>
    <row r="9" spans="1:24" ht="25.5" customHeight="1">
      <c r="A9" s="423" t="s">
        <v>284</v>
      </c>
      <c r="B9" s="190" t="str">
        <f>+IF('Introducerea datelor'!G6="Please Select","",'Introducerea datelor'!G6)</f>
        <v>HIVAIDS / TB</v>
      </c>
      <c r="C9" s="131" t="s">
        <v>246</v>
      </c>
      <c r="D9" s="191" t="str">
        <f>+'Introducerea datelor'!C6</f>
        <v>MDA-C-PCIMU</v>
      </c>
      <c r="E9" s="726" t="s">
        <v>367</v>
      </c>
      <c r="F9" s="726"/>
      <c r="G9" s="244">
        <f>+IF(ISBLANK('Introducerea datelor'!C10),"",'Introducerea datelor'!C10)</f>
        <v>43101</v>
      </c>
      <c r="H9" s="423" t="s">
        <v>285</v>
      </c>
      <c r="I9" s="725">
        <f>+IF(ISBLANK('Introducerea datelor'!I6),"",'Introducerea datelor'!I6)</f>
        <v>11931624</v>
      </c>
      <c r="J9" s="725"/>
      <c r="K9" s="32"/>
      <c r="L9" s="32"/>
      <c r="M9" s="32"/>
      <c r="N9" s="32"/>
      <c r="O9" s="34"/>
      <c r="P9" s="33"/>
      <c r="Q9" s="34"/>
      <c r="R9" s="35"/>
      <c r="S9" s="17"/>
      <c r="T9" s="11"/>
      <c r="U9" s="11"/>
      <c r="V9" s="10"/>
      <c r="W9" s="10"/>
      <c r="X9" s="10"/>
    </row>
    <row r="10" spans="1:24" ht="25.5" customHeight="1">
      <c r="A10" s="423" t="s">
        <v>286</v>
      </c>
      <c r="B10" s="192" t="str">
        <f>+IF('Introducerea datelor'!G8="Please Select","",'Introducerea datelor'!G8)</f>
        <v/>
      </c>
      <c r="C10" s="131" t="s">
        <v>287</v>
      </c>
      <c r="D10" s="193" t="str">
        <f>+IF('Introducerea datelor'!I8="Please Select","",'Introducerea datelor'!I8)</f>
        <v/>
      </c>
      <c r="E10" s="727" t="s">
        <v>368</v>
      </c>
      <c r="F10" s="727"/>
      <c r="G10" s="723" t="str">
        <f>+'Introducerea datelor'!C8</f>
        <v>IP UCIMP DS</v>
      </c>
      <c r="H10" s="723"/>
      <c r="I10" s="723"/>
      <c r="J10" s="723"/>
      <c r="K10" s="36"/>
      <c r="L10" s="36"/>
      <c r="M10" s="32"/>
      <c r="N10" s="36"/>
      <c r="O10" s="34"/>
      <c r="P10" s="33"/>
      <c r="Q10" s="11"/>
      <c r="R10" s="35"/>
      <c r="S10" s="17"/>
      <c r="T10" s="11"/>
      <c r="U10" s="11"/>
    </row>
    <row r="11" spans="1:24" ht="25.5" customHeight="1">
      <c r="A11" s="423" t="s">
        <v>290</v>
      </c>
      <c r="B11" s="422" t="str">
        <f>+'Introducerea datelor'!C16</f>
        <v>P2</v>
      </c>
      <c r="C11" s="181" t="s">
        <v>291</v>
      </c>
      <c r="D11" s="425">
        <f>+IF(ISBLANK('Introducerea datelor'!E16),"",'Introducerea datelor'!E16)</f>
        <v>43282</v>
      </c>
      <c r="E11" s="726" t="s">
        <v>292</v>
      </c>
      <c r="F11" s="726"/>
      <c r="G11" s="425">
        <f>+IF(ISBLANK('Introducerea datelor'!G16),"",'Introducerea datelor'!G16)</f>
        <v>43465</v>
      </c>
      <c r="H11" s="423" t="s">
        <v>282</v>
      </c>
      <c r="I11" s="730" t="str">
        <f>+IF('Introducerea datelor'!C12="Please Select","",'Introducerea datelor'!C12)</f>
        <v/>
      </c>
      <c r="J11" s="730"/>
      <c r="K11" s="148"/>
      <c r="L11" s="36"/>
      <c r="M11" s="32"/>
      <c r="N11" s="36"/>
      <c r="O11" s="36"/>
      <c r="P11" s="33"/>
      <c r="Q11" s="11"/>
      <c r="R11" s="35"/>
      <c r="S11" s="17"/>
      <c r="T11" s="12"/>
      <c r="U11" s="11"/>
    </row>
    <row r="12" spans="1:24" ht="25.5" customHeight="1">
      <c r="A12" s="423" t="s">
        <v>288</v>
      </c>
      <c r="B12" s="723" t="str">
        <f>+IF('Introducerea datelor'!G10="Please Select","",'Introducerea datelor'!G10)</f>
        <v>PwC (PricewaterhouseCoopers)</v>
      </c>
      <c r="C12" s="723"/>
      <c r="D12" s="723"/>
      <c r="E12" s="727" t="s">
        <v>231</v>
      </c>
      <c r="F12" s="727"/>
      <c r="G12" s="723" t="str">
        <f>+'Introducerea datelor'!G12</f>
        <v>Tsovinar Sakanyan</v>
      </c>
      <c r="H12" s="723"/>
      <c r="I12" s="723"/>
      <c r="J12" s="723"/>
      <c r="K12" s="36"/>
      <c r="L12" s="36"/>
      <c r="M12" s="32"/>
      <c r="N12" s="36"/>
      <c r="O12" s="17"/>
      <c r="P12" s="33"/>
      <c r="Q12" s="11"/>
      <c r="R12" s="35"/>
      <c r="S12" s="17"/>
      <c r="T12" s="11"/>
      <c r="U12" s="37"/>
      <c r="V12" s="11"/>
      <c r="W12" s="12"/>
      <c r="X12" s="11"/>
    </row>
    <row r="13" spans="1:24" ht="30.75" customHeight="1">
      <c r="A13" s="423" t="s">
        <v>369</v>
      </c>
      <c r="B13" s="723" t="str">
        <f>+'Introducerea datelor'!D18</f>
        <v>IP UCIMP DS</v>
      </c>
      <c r="C13" s="723"/>
      <c r="D13" s="723"/>
      <c r="E13" s="731" t="s">
        <v>370</v>
      </c>
      <c r="F13" s="731"/>
      <c r="G13" s="732">
        <f>+IF(ISBLANK('Introducerea datelor'!J16),"",'Introducerea datelor'!J16)</f>
        <v>43353</v>
      </c>
      <c r="H13" s="733"/>
      <c r="I13" s="733"/>
      <c r="J13" s="733"/>
      <c r="K13" s="17"/>
      <c r="L13" s="18"/>
      <c r="M13" s="18"/>
      <c r="N13" s="18"/>
      <c r="O13" s="17"/>
      <c r="P13" s="18"/>
      <c r="Q13" s="18"/>
      <c r="R13" s="35"/>
      <c r="S13" s="17"/>
      <c r="T13" s="18"/>
      <c r="U13" s="38"/>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34"/>
      <c r="D16" s="16"/>
      <c r="E16" s="20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sheet="1" objects="1" scenarios="1"/>
  <dataConsolidate link="1"/>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49" priority="1" stopIfTrue="1" operator="equal">
      <formula>"C"</formula>
    </cfRule>
    <cfRule type="cellIs" dxfId="48" priority="2" stopIfTrue="1" operator="equal">
      <formula>"B2"</formula>
    </cfRule>
    <cfRule type="cellIs" dxfId="4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topLeftCell="A19" zoomScale="130" zoomScaleNormal="130" zoomScaleSheetLayoutView="100" workbookViewId="0">
      <selection activeCell="C27" sqref="C27:F27"/>
    </sheetView>
  </sheetViews>
  <sheetFormatPr defaultColWidth="11" defaultRowHeight="15"/>
  <cols>
    <col min="1" max="1" width="3.28515625" style="3" customWidth="1"/>
    <col min="2" max="2" width="10.42578125" style="3" customWidth="1"/>
    <col min="3" max="3" width="12.42578125" style="3" customWidth="1"/>
    <col min="4" max="4" width="13.140625" style="3" customWidth="1"/>
    <col min="5" max="5" width="11.42578125" style="3" customWidth="1"/>
    <col min="6" max="6" width="17" style="3" customWidth="1"/>
    <col min="7" max="7" width="3.85546875" style="3" customWidth="1"/>
    <col min="8" max="8" width="9.85546875" style="3" customWidth="1"/>
    <col min="9" max="9" width="13" style="3" customWidth="1"/>
    <col min="10" max="10" width="13.7109375" style="3" customWidth="1"/>
    <col min="11" max="11" width="13.5703125" style="3" customWidth="1"/>
    <col min="12" max="12" width="14.140625" style="3" customWidth="1"/>
    <col min="13" max="16384" width="11" style="3"/>
  </cols>
  <sheetData>
    <row r="1" spans="1:16" ht="28.5" customHeight="1">
      <c r="C1" s="567"/>
      <c r="E1" s="568"/>
    </row>
    <row r="2" spans="1:16" ht="27.75" customHeight="1">
      <c r="B2" s="750" t="str">
        <f>+"Tabel Programatic de Evaluare:  "&amp;"  "&amp;IF(+'Introducerea datelor'!C4="Please Select","",'Introducerea datelor'!C4&amp;" - ")&amp;IF('Introducerea datelor'!G6="Please Select","",'Introducerea datelor'!G6)</f>
        <v>Tabel Programatic de Evaluare:    Moldova - HIVAIDS / TB</v>
      </c>
      <c r="C2" s="750"/>
      <c r="D2" s="750"/>
      <c r="E2" s="750"/>
      <c r="F2" s="750"/>
      <c r="G2" s="750"/>
      <c r="H2" s="750"/>
      <c r="I2" s="750"/>
      <c r="J2" s="750"/>
      <c r="K2" s="750"/>
      <c r="L2" s="750"/>
      <c r="M2" s="569"/>
      <c r="N2" s="569"/>
      <c r="O2" s="569"/>
      <c r="P2" s="569"/>
    </row>
    <row r="3" spans="1:16">
      <c r="B3" s="426" t="str">
        <f>+IF('Introducerea datelor'!G8="Please Select","",'Introducerea datelor'!G8)</f>
        <v/>
      </c>
      <c r="C3" s="755" t="str">
        <f>+IF('Introducerea datelor'!I8="Please Select","",'Introducerea datelor'!I8)</f>
        <v/>
      </c>
      <c r="D3" s="755"/>
      <c r="E3" s="753"/>
      <c r="F3" s="753"/>
      <c r="G3" s="753"/>
      <c r="H3" s="753"/>
      <c r="I3" s="753"/>
      <c r="J3" s="754" t="str">
        <f>+'Introducerea datelor'!B16</f>
        <v>Perioada de Raportare:</v>
      </c>
      <c r="K3" s="754"/>
      <c r="L3" s="120" t="str">
        <f>+'Introducerea datelor'!C16</f>
        <v>P2</v>
      </c>
    </row>
    <row r="4" spans="1:16">
      <c r="B4" s="426" t="str">
        <f>+'Introducerea datelor'!B12</f>
        <v>Ultimul Rating:</v>
      </c>
      <c r="C4" s="751" t="str">
        <f>+IF('Introducerea datelor'!C12="Please Select","",'Introducerea datelor'!C12)</f>
        <v/>
      </c>
      <c r="D4" s="751"/>
      <c r="E4" s="753" t="str">
        <f>+'Introducerea datelor'!C8</f>
        <v>IP UCIMP DS</v>
      </c>
      <c r="F4" s="753"/>
      <c r="G4" s="753"/>
      <c r="H4" s="753"/>
      <c r="I4" s="753"/>
      <c r="J4" s="754" t="str">
        <f>+'Introducerea datelor'!D16</f>
        <v>De la:</v>
      </c>
      <c r="K4" s="756"/>
      <c r="L4" s="263">
        <f>+IF(ISBLANK('Introducerea datelor'!E16),"",'Introducerea datelor'!E16)</f>
        <v>43282</v>
      </c>
    </row>
    <row r="5" spans="1:16" ht="27.75" customHeight="1">
      <c r="B5" s="426"/>
      <c r="C5" s="426"/>
      <c r="D5" s="747" t="str">
        <f>+'Introducerea datelor'!G4</f>
        <v>Consolidarea controlului tuberculozei și reducerea SIDA și a mortalității aferente în Republica Moldova</v>
      </c>
      <c r="E5" s="747"/>
      <c r="F5" s="747"/>
      <c r="G5" s="747"/>
      <c r="H5" s="747"/>
      <c r="I5" s="747"/>
      <c r="J5" s="747"/>
      <c r="K5" s="426" t="str">
        <f>+'Introducerea datelor'!F16</f>
        <v>Pînă la:</v>
      </c>
      <c r="L5" s="263">
        <f>+IF(ISBLANK('Introducerea datelor'!G16),"",'Introducerea datelor'!G16)</f>
        <v>43465</v>
      </c>
    </row>
    <row r="6" spans="1:16" ht="18.75">
      <c r="B6" s="99"/>
      <c r="C6" s="426"/>
      <c r="D6" s="97"/>
      <c r="E6" s="752" t="s">
        <v>375</v>
      </c>
      <c r="F6" s="752"/>
      <c r="G6" s="752"/>
      <c r="H6" s="752"/>
      <c r="I6" s="752"/>
    </row>
    <row r="7" spans="1:16" ht="26.25" customHeight="1">
      <c r="B7" s="736" t="str">
        <f>+'Introducerea datelor'!B71&amp;"                "&amp;+J3&amp;" "&amp;+L3</f>
        <v>M1: Statutul Condițiilor Precedente și a Acțiunilor Prestabilite în Timp                 Perioada de Raportare: P2</v>
      </c>
      <c r="C7" s="737"/>
      <c r="D7" s="737"/>
      <c r="E7" s="737"/>
      <c r="F7" s="737"/>
      <c r="H7" s="736" t="str">
        <f>+'Introducerea datelor'!B78&amp;"                                                                             "&amp;+J3&amp;"  "&amp;+L3</f>
        <v>M2: Statutul pozițiilor cheie a RP                                                                              Perioada de Raportare:  P2</v>
      </c>
      <c r="I7" s="737"/>
      <c r="J7" s="737"/>
      <c r="K7" s="737"/>
      <c r="L7" s="737"/>
    </row>
    <row r="8" spans="1:16" ht="96.75" customHeight="1">
      <c r="B8" s="570" t="s">
        <v>374</v>
      </c>
      <c r="C8" s="739" t="s">
        <v>512</v>
      </c>
      <c r="D8" s="742"/>
      <c r="E8" s="742"/>
      <c r="F8" s="743"/>
      <c r="G8" s="571"/>
      <c r="H8" s="570" t="s">
        <v>374</v>
      </c>
      <c r="I8" s="739" t="s">
        <v>511</v>
      </c>
      <c r="J8" s="740"/>
      <c r="K8" s="740"/>
      <c r="L8" s="741"/>
    </row>
    <row r="9" spans="1:16" ht="22.5" customHeight="1">
      <c r="B9" s="2"/>
      <c r="C9" s="2"/>
      <c r="D9" s="2"/>
      <c r="E9" s="2"/>
      <c r="F9" s="2"/>
      <c r="G9" s="2"/>
      <c r="H9" s="2"/>
    </row>
    <row r="10" spans="1:16" ht="21" customHeight="1">
      <c r="A10" s="572"/>
      <c r="B10" s="2"/>
      <c r="C10" s="2"/>
      <c r="D10" s="749"/>
      <c r="E10" s="748"/>
      <c r="F10" s="748"/>
      <c r="G10" s="573"/>
      <c r="H10" s="2"/>
      <c r="N10" s="574"/>
      <c r="O10" s="574"/>
      <c r="P10" s="416"/>
    </row>
    <row r="11" spans="1:16">
      <c r="B11" s="2"/>
      <c r="C11" s="79"/>
      <c r="D11" s="749"/>
      <c r="E11" s="79"/>
      <c r="F11" s="79"/>
      <c r="G11" s="79"/>
      <c r="H11" s="79"/>
      <c r="N11" s="2"/>
      <c r="O11" s="2"/>
    </row>
    <row r="12" spans="1:16">
      <c r="B12" s="79"/>
      <c r="C12" s="575"/>
      <c r="D12" s="576"/>
      <c r="E12" s="576"/>
      <c r="F12" s="576"/>
      <c r="G12" s="576"/>
      <c r="H12" s="577"/>
      <c r="N12" s="578"/>
    </row>
    <row r="13" spans="1:16">
      <c r="B13" s="79"/>
      <c r="C13" s="575"/>
      <c r="D13" s="576"/>
      <c r="E13" s="576"/>
      <c r="F13" s="576"/>
      <c r="G13" s="576"/>
      <c r="H13" s="577"/>
    </row>
    <row r="14" spans="1:16" ht="27" customHeight="1"/>
    <row r="15" spans="1:16" ht="35.25" customHeight="1">
      <c r="B15" s="736" t="str">
        <f>+'Introducerea datelor'!B83&amp;"                                                                                                 "&amp;+J3&amp;" "&amp;+L3</f>
        <v>M3: Aranjamente contractuale (SR)                                                                                                  Perioada de Raportare: P2</v>
      </c>
      <c r="C15" s="737"/>
      <c r="D15" s="737"/>
      <c r="E15" s="737"/>
      <c r="F15" s="737"/>
      <c r="G15" s="737"/>
      <c r="H15" s="736" t="str">
        <f>+'Introducerea datelor'!B88&amp;"                        "&amp;+J3&amp;" "&amp;+L3</f>
        <v>M4: Numărul rapoartelor complete recepționate la timp                        Perioada de Raportare: P2</v>
      </c>
      <c r="I15" s="737"/>
      <c r="J15" s="737"/>
      <c r="K15" s="737"/>
      <c r="L15" s="737"/>
    </row>
    <row r="16" spans="1:16" ht="79.5" customHeight="1">
      <c r="B16" s="570" t="s">
        <v>374</v>
      </c>
      <c r="C16" s="739" t="s">
        <v>507</v>
      </c>
      <c r="D16" s="740"/>
      <c r="E16" s="740"/>
      <c r="F16" s="741"/>
      <c r="G16" s="571"/>
      <c r="H16" s="570" t="s">
        <v>374</v>
      </c>
      <c r="I16" s="739" t="s">
        <v>508</v>
      </c>
      <c r="J16" s="742"/>
      <c r="K16" s="742"/>
      <c r="L16" s="743"/>
    </row>
    <row r="17" spans="2:13">
      <c r="B17" s="579"/>
      <c r="H17" s="580"/>
    </row>
    <row r="18" spans="2:13">
      <c r="M18" s="581"/>
    </row>
    <row r="26" spans="2:13" ht="40.5" customHeight="1">
      <c r="B26" s="734" t="str">
        <f>+'Introducerea datelor'!B94</f>
        <v xml:space="preserve">M5: Bugetul și Procurarea produselor medicale, echipamentului medical, medicamentelor și produselor farmaceutice </v>
      </c>
      <c r="C26" s="735"/>
      <c r="D26" s="735"/>
      <c r="E26" s="735"/>
      <c r="F26" s="735"/>
      <c r="H26" s="736" t="str">
        <f>+'Introducerea datelor'!B107&amp;"                                                                "&amp;+J3&amp;"  "&amp;+L3</f>
        <v>M6: Diferență între stocul curent și stocul de siguranță                                                                Perioada de Raportare:  P2</v>
      </c>
      <c r="I26" s="737"/>
      <c r="J26" s="737"/>
      <c r="K26" s="737"/>
      <c r="L26" s="737"/>
    </row>
    <row r="27" spans="2:13" ht="54.75" customHeight="1">
      <c r="B27" s="570" t="s">
        <v>374</v>
      </c>
      <c r="C27" s="739" t="s">
        <v>527</v>
      </c>
      <c r="D27" s="740"/>
      <c r="E27" s="740"/>
      <c r="F27" s="741"/>
      <c r="G27" s="571"/>
      <c r="H27" s="570" t="s">
        <v>1</v>
      </c>
      <c r="I27" s="739" t="s">
        <v>526</v>
      </c>
      <c r="J27" s="742"/>
      <c r="K27" s="742"/>
      <c r="L27" s="743"/>
    </row>
    <row r="28" spans="2:13" ht="15.75" thickBot="1"/>
    <row r="29" spans="2:13" ht="59.25" customHeight="1">
      <c r="F29" s="183"/>
      <c r="G29" s="183"/>
      <c r="H29" s="237" t="s">
        <v>351</v>
      </c>
      <c r="I29" s="236" t="s">
        <v>376</v>
      </c>
      <c r="J29" s="195" t="s">
        <v>378</v>
      </c>
      <c r="K29" s="128" t="s">
        <v>379</v>
      </c>
      <c r="L29" s="182" t="s">
        <v>380</v>
      </c>
    </row>
    <row r="30" spans="2:13" ht="15" customHeight="1">
      <c r="F30" s="183"/>
      <c r="G30" s="183"/>
      <c r="H30" s="744" t="str">
        <f>+'Introducerea datelor'!B110</f>
        <v>Please Select</v>
      </c>
      <c r="I30" s="431" t="str">
        <f>+'Introducerea datelor'!C110</f>
        <v>Please Select</v>
      </c>
      <c r="J30" s="432" t="str">
        <f>+'Introducerea datelor'!I110</f>
        <v/>
      </c>
      <c r="K30" s="433">
        <f>+'Introducerea datelor'!J110</f>
        <v>0</v>
      </c>
      <c r="L30" s="434" t="str">
        <f>+'Introducerea datelor'!K110</f>
        <v/>
      </c>
    </row>
    <row r="31" spans="2:13">
      <c r="F31" s="183"/>
      <c r="G31" s="183"/>
      <c r="H31" s="745"/>
      <c r="I31" s="431" t="str">
        <f>+'Introducerea datelor'!C111</f>
        <v>Please Select</v>
      </c>
      <c r="J31" s="432" t="str">
        <f>+'Introducerea datelor'!I111</f>
        <v/>
      </c>
      <c r="K31" s="433">
        <f>+'Introducerea datelor'!J111</f>
        <v>0</v>
      </c>
      <c r="L31" s="435" t="str">
        <f>+'Introducerea datelor'!K111</f>
        <v/>
      </c>
    </row>
    <row r="32" spans="2:13">
      <c r="F32" s="183"/>
      <c r="G32" s="183"/>
      <c r="H32" s="745"/>
      <c r="I32" s="431" t="str">
        <f>+'Introducerea datelor'!C112</f>
        <v>Please Select</v>
      </c>
      <c r="J32" s="432" t="str">
        <f>+'Introducerea datelor'!I112</f>
        <v/>
      </c>
      <c r="K32" s="433">
        <f>+'Introducerea datelor'!J112</f>
        <v>0</v>
      </c>
      <c r="L32" s="434" t="str">
        <f>+'Introducerea datelor'!K112</f>
        <v/>
      </c>
    </row>
    <row r="33" spans="2:12" ht="30" customHeight="1" thickBot="1">
      <c r="F33" s="183"/>
      <c r="G33" s="183"/>
      <c r="H33" s="746"/>
      <c r="I33" s="436" t="str">
        <f>+'Introducerea datelor'!C113</f>
        <v>Please Select</v>
      </c>
      <c r="J33" s="437" t="str">
        <f>+'Introducerea datelor'!I113</f>
        <v/>
      </c>
      <c r="K33" s="438">
        <f>+'Introducerea datelor'!J113</f>
        <v>0</v>
      </c>
      <c r="L33" s="434" t="str">
        <f>+'Introducerea datelor'!K113</f>
        <v/>
      </c>
    </row>
    <row r="34" spans="2:12" ht="22.5" customHeight="1">
      <c r="B34" s="738" t="str">
        <f>+'Introducerea datelor'!B104</f>
        <v>* Include numai AFR categoriile 4,5 și 6  (Produse medicale și Echipamente medicale &amp; Medicamente și Produse farmaceutice)</v>
      </c>
      <c r="C34" s="738"/>
      <c r="D34" s="738"/>
      <c r="E34" s="738"/>
      <c r="F34" s="2"/>
      <c r="G34" s="2"/>
      <c r="H34" s="582"/>
      <c r="I34" s="583"/>
      <c r="J34" s="584"/>
      <c r="K34" s="573"/>
      <c r="L34" s="15"/>
    </row>
    <row r="35" spans="2:12">
      <c r="F35" s="2"/>
      <c r="G35" s="2"/>
      <c r="H35" s="2"/>
      <c r="I35" s="2"/>
      <c r="J35" s="2"/>
      <c r="K35" s="2"/>
      <c r="L35" s="2"/>
    </row>
  </sheetData>
  <sheetProtection sheet="1" objects="1" scenarios="1"/>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46" priority="1" stopIfTrue="1" operator="greaterThan">
      <formula>0</formula>
    </cfRule>
  </conditionalFormatting>
  <conditionalFormatting sqref="E12:E13">
    <cfRule type="cellIs" dxfId="45" priority="2" stopIfTrue="1" operator="greaterThan">
      <formula>0</formula>
    </cfRule>
  </conditionalFormatting>
  <conditionalFormatting sqref="F12:G13">
    <cfRule type="cellIs" dxfId="44" priority="3" stopIfTrue="1" operator="greaterThan">
      <formula>0</formula>
    </cfRule>
  </conditionalFormatting>
  <conditionalFormatting sqref="C4:D4">
    <cfRule type="cellIs" dxfId="43" priority="4" stopIfTrue="1" operator="equal">
      <formula>"C"</formula>
    </cfRule>
    <cfRule type="cellIs" dxfId="42" priority="5" stopIfTrue="1" operator="equal">
      <formula>"B2"</formula>
    </cfRule>
    <cfRule type="cellIs" dxfId="41" priority="6" stopIfTrue="1" operator="equal">
      <formula>"B1"</formula>
    </cfRule>
  </conditionalFormatting>
  <conditionalFormatting sqref="L30 L32:L33">
    <cfRule type="cellIs" dxfId="40" priority="13" stopIfTrue="1" operator="lessThan">
      <formula>1</formula>
    </cfRule>
    <cfRule type="cellIs" dxfId="39" priority="14" stopIfTrue="1" operator="between">
      <formula>3</formula>
      <formula>17</formula>
    </cfRule>
    <cfRule type="cellIs" dxfId="38" priority="15" stopIfTrue="1" operator="between">
      <formula>1</formula>
      <formula>3</formula>
    </cfRule>
  </conditionalFormatting>
  <conditionalFormatting sqref="L31">
    <cfRule type="cellIs" dxfId="37" priority="16" stopIfTrue="1" operator="lessThan">
      <formula>1</formula>
    </cfRule>
    <cfRule type="cellIs" dxfId="36" priority="17" stopIfTrue="1" operator="between">
      <formula>3</formula>
      <formula>100</formula>
    </cfRule>
    <cfRule type="cellIs" dxfId="35"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tabSelected="1" view="pageBreakPreview" topLeftCell="A11" zoomScaleNormal="100" zoomScaleSheetLayoutView="100" workbookViewId="0">
      <selection activeCell="H33" sqref="H33"/>
    </sheetView>
  </sheetViews>
  <sheetFormatPr defaultColWidth="11" defaultRowHeight="15"/>
  <cols>
    <col min="1" max="6" width="19.42578125" style="3" customWidth="1"/>
    <col min="7" max="7" width="3.85546875" style="3" customWidth="1"/>
    <col min="8" max="11" width="24.28515625" style="3" customWidth="1"/>
    <col min="12" max="16384" width="11" style="3"/>
  </cols>
  <sheetData>
    <row r="1" spans="2:15" ht="30.75" customHeight="1"/>
    <row r="2" spans="2:15" ht="27.75" customHeight="1">
      <c r="B2" s="777" t="str">
        <f>+"Tabel Programatic de Evaluare:  "&amp;"  "&amp;IF(+'Introducerea datelor'!C4="Please Select","",'Introducerea datelor'!C4&amp;" - ")&amp;IF('Introducerea datelor'!G6="Please Select","",'Introducerea datelor'!G6)</f>
        <v>Tabel Programatic de Evaluare:    Moldova - HIVAIDS / TB</v>
      </c>
      <c r="C2" s="777"/>
      <c r="D2" s="777"/>
      <c r="E2" s="777"/>
      <c r="F2" s="777"/>
      <c r="G2" s="777"/>
      <c r="H2" s="777"/>
      <c r="I2" s="777"/>
      <c r="J2" s="777"/>
      <c r="K2" s="777"/>
      <c r="L2" s="585"/>
      <c r="M2" s="585"/>
      <c r="N2" s="585"/>
      <c r="O2" s="585"/>
    </row>
    <row r="3" spans="2:15">
      <c r="B3" s="426" t="str">
        <f>+IF('Introducerea datelor'!G8="Please Select","",'Introducerea datelor'!G8)</f>
        <v/>
      </c>
      <c r="C3" s="755" t="str">
        <f>+IF('Introducerea datelor'!I8="Please Select","",'Introducerea datelor'!I8)</f>
        <v/>
      </c>
      <c r="D3" s="755"/>
      <c r="E3" s="753"/>
      <c r="F3" s="753"/>
      <c r="G3" s="753"/>
      <c r="H3" s="753"/>
      <c r="I3" s="754" t="str">
        <f>+'Introducerea datelor'!B16</f>
        <v>Perioada de Raportare:</v>
      </c>
      <c r="J3" s="754"/>
      <c r="K3" s="120" t="str">
        <f>+'Introducerea datelor'!C16</f>
        <v>P2</v>
      </c>
      <c r="L3" s="581"/>
    </row>
    <row r="4" spans="2:15">
      <c r="B4" s="426" t="str">
        <f>+'Introducerea datelor'!B12</f>
        <v>Ultimul Rating:</v>
      </c>
      <c r="C4" s="751" t="str">
        <f>+IF('Introducerea datelor'!C12="Please Select","",'Introducerea datelor'!C12)</f>
        <v/>
      </c>
      <c r="D4" s="751"/>
      <c r="E4" s="753" t="str">
        <f>+'Introducerea datelor'!C8</f>
        <v>IP UCIMP DS</v>
      </c>
      <c r="F4" s="753"/>
      <c r="G4" s="753"/>
      <c r="H4" s="753"/>
      <c r="I4" s="754" t="str">
        <f>+'Introducerea datelor'!D16</f>
        <v>De la:</v>
      </c>
      <c r="J4" s="756"/>
      <c r="K4" s="263">
        <f>+IF(ISBLANK('Introducerea datelor'!E16),"",'Introducerea datelor'!E16)</f>
        <v>43282</v>
      </c>
    </row>
    <row r="5" spans="2:15" ht="18.75" customHeight="1">
      <c r="B5" s="426"/>
      <c r="C5" s="426"/>
      <c r="D5" s="747" t="str">
        <f>+'Introducerea datelor'!G4</f>
        <v>Consolidarea controlului tuberculozei și reducerea SIDA și a mortalității aferente în Republica Moldova</v>
      </c>
      <c r="E5" s="747"/>
      <c r="F5" s="747"/>
      <c r="G5" s="747"/>
      <c r="H5" s="747"/>
      <c r="I5" s="747"/>
      <c r="J5" s="426" t="str">
        <f>+'Introducerea datelor'!F16</f>
        <v>Pînă la:</v>
      </c>
      <c r="K5" s="263">
        <f>+IF(ISBLANK('Introducerea datelor'!G16),"",'Introducerea datelor'!G16)</f>
        <v>43465</v>
      </c>
    </row>
    <row r="6" spans="2:15" ht="18.75">
      <c r="B6" s="99"/>
      <c r="C6" s="426"/>
      <c r="D6" s="97"/>
      <c r="E6" s="752" t="s">
        <v>373</v>
      </c>
      <c r="F6" s="752"/>
      <c r="G6" s="752"/>
      <c r="H6" s="752"/>
      <c r="K6" s="198"/>
    </row>
    <row r="7" spans="2:15" ht="10.5" customHeight="1">
      <c r="B7" s="100"/>
      <c r="C7" s="101"/>
      <c r="D7" s="102"/>
      <c r="E7" s="103"/>
      <c r="F7" s="103"/>
      <c r="G7" s="104"/>
      <c r="H7" s="104"/>
      <c r="I7" s="427"/>
      <c r="J7" s="427"/>
      <c r="K7" s="98"/>
      <c r="O7" s="3" t="s">
        <v>372</v>
      </c>
    </row>
    <row r="8" spans="2:15" ht="26.25" customHeight="1">
      <c r="B8" s="765" t="str">
        <f>+'Introducerea datelor'!B27&amp; " - in ("&amp;'Introducerea datelor'!D26&amp;")  "&amp;+I3&amp;" "&amp;+K3</f>
        <v>F1: Bugetul și debursările de către Fondul Global - in (€)  Perioada de Raportare: P2</v>
      </c>
      <c r="C8" s="737"/>
      <c r="D8" s="737"/>
      <c r="E8" s="737"/>
      <c r="F8" s="737"/>
      <c r="H8" s="125" t="str">
        <f>+'Introducerea datelor'!B51&amp; " - in ("&amp;'Introducerea datelor'!D26&amp;")         "&amp;+I3&amp;" "&amp;+K3</f>
        <v>F3: Debursări și cheltuieli - in (€)         Perioada de Raportare: P2</v>
      </c>
    </row>
    <row r="9" spans="2:15" ht="28.5" customHeight="1">
      <c r="B9" s="570" t="s">
        <v>374</v>
      </c>
      <c r="C9" s="766"/>
      <c r="D9" s="772"/>
      <c r="E9" s="772"/>
      <c r="F9" s="773"/>
      <c r="G9" s="586"/>
      <c r="H9" s="587" t="s">
        <v>374</v>
      </c>
      <c r="I9" s="766"/>
      <c r="J9" s="772"/>
      <c r="K9" s="773"/>
    </row>
    <row r="10" spans="2:15">
      <c r="B10" s="2"/>
      <c r="C10" s="2"/>
      <c r="D10" s="2"/>
      <c r="E10" s="2"/>
      <c r="F10" s="2"/>
    </row>
    <row r="11" spans="2:15">
      <c r="B11" s="2"/>
      <c r="C11" s="2"/>
      <c r="D11" s="2"/>
      <c r="E11" s="2"/>
      <c r="F11" s="2"/>
    </row>
    <row r="12" spans="2:15">
      <c r="B12" s="2"/>
      <c r="C12" s="2"/>
      <c r="D12" s="2"/>
      <c r="E12" s="2"/>
      <c r="F12" s="2"/>
    </row>
    <row r="13" spans="2:15">
      <c r="B13" s="2"/>
      <c r="C13" s="2"/>
      <c r="D13" s="2"/>
      <c r="E13" s="2"/>
      <c r="F13" s="2"/>
    </row>
    <row r="14" spans="2:15">
      <c r="B14" s="2"/>
      <c r="C14" s="2"/>
      <c r="D14" s="2"/>
      <c r="E14" s="2"/>
      <c r="F14" s="2"/>
    </row>
    <row r="15" spans="2:15">
      <c r="B15" s="2"/>
      <c r="C15" s="2"/>
      <c r="D15" s="2"/>
      <c r="E15" s="2"/>
      <c r="F15" s="2"/>
    </row>
    <row r="16" spans="2:15">
      <c r="B16" s="2"/>
      <c r="C16" s="2"/>
      <c r="D16" s="2"/>
      <c r="E16" s="2"/>
      <c r="F16" s="2"/>
    </row>
    <row r="17" spans="1:13">
      <c r="B17" s="2"/>
      <c r="C17" s="2"/>
      <c r="D17" s="2"/>
      <c r="E17" s="2"/>
      <c r="F17" s="2"/>
    </row>
    <row r="18" spans="1:13">
      <c r="B18" s="2"/>
      <c r="C18" s="2"/>
      <c r="D18" s="2"/>
      <c r="E18" s="2"/>
      <c r="F18" s="2"/>
    </row>
    <row r="19" spans="1:13">
      <c r="B19" s="2"/>
      <c r="C19" s="2"/>
      <c r="D19" s="2"/>
      <c r="E19" s="2"/>
      <c r="F19" s="2"/>
    </row>
    <row r="20" spans="1:13">
      <c r="B20" s="2"/>
      <c r="C20" s="2"/>
      <c r="D20" s="2"/>
      <c r="E20" s="2"/>
      <c r="F20" s="2"/>
    </row>
    <row r="21" spans="1:13">
      <c r="A21" s="2"/>
      <c r="B21" s="2"/>
      <c r="C21" s="2"/>
      <c r="D21" s="2"/>
      <c r="E21" s="2"/>
      <c r="F21" s="2"/>
      <c r="G21" s="2"/>
      <c r="H21" s="2"/>
      <c r="I21" s="2"/>
      <c r="J21" s="2"/>
      <c r="K21" s="2"/>
      <c r="M21" s="588"/>
    </row>
    <row r="22" spans="1:13" ht="24" customHeight="1">
      <c r="B22" s="761" t="str">
        <f>+'Introducerea datelor'!B36&amp; " - in ("&amp;'Introducerea datelor'!D26&amp;")  "&amp;+I3&amp;" "&amp;+K3</f>
        <v>F2: Bugetul și cheltuielile actuale după Obiectivele Grantului - in (€)  Perioada de Raportare: P2</v>
      </c>
      <c r="C22" s="762"/>
      <c r="D22" s="762"/>
      <c r="E22" s="762"/>
      <c r="F22" s="762"/>
      <c r="G22" s="160"/>
      <c r="H22" s="761" t="str">
        <f>+'Introducerea datelor'!B60&amp;"      "&amp;+I3&amp;" "&amp;+K3</f>
        <v>F4: Ultima perioadă de raportare și debursare a RP       Perioada de Raportare: P2</v>
      </c>
      <c r="I22" s="737"/>
      <c r="J22" s="737"/>
      <c r="K22" s="737"/>
    </row>
    <row r="23" spans="1:13" ht="86.25" customHeight="1">
      <c r="B23" s="570" t="s">
        <v>374</v>
      </c>
      <c r="C23" s="774" t="s">
        <v>536</v>
      </c>
      <c r="D23" s="775"/>
      <c r="E23" s="775"/>
      <c r="F23" s="776"/>
      <c r="G23" s="589"/>
      <c r="H23" s="587" t="s">
        <v>374</v>
      </c>
      <c r="I23" s="766"/>
      <c r="J23" s="767"/>
      <c r="K23" s="768"/>
    </row>
    <row r="24" spans="1:13" ht="15.75" thickBot="1">
      <c r="B24" s="590"/>
      <c r="C24" s="590"/>
      <c r="D24" s="590"/>
      <c r="E24" s="590"/>
      <c r="F24" s="590"/>
      <c r="G24" s="590"/>
      <c r="H24" s="591"/>
      <c r="I24" s="591"/>
      <c r="J24" s="590"/>
      <c r="K24" s="590"/>
    </row>
    <row r="25" spans="1:13" ht="29.25" customHeight="1" thickBot="1">
      <c r="G25" s="179"/>
      <c r="H25" s="769" t="s">
        <v>413</v>
      </c>
      <c r="I25" s="770"/>
      <c r="J25" s="770"/>
      <c r="K25" s="771"/>
    </row>
    <row r="26" spans="1:13">
      <c r="G26" s="159"/>
      <c r="H26" s="757"/>
      <c r="I26" s="758"/>
      <c r="J26" s="169" t="s">
        <v>314</v>
      </c>
      <c r="K26" s="170" t="s">
        <v>315</v>
      </c>
    </row>
    <row r="27" spans="1:13" ht="23.25" customHeight="1">
      <c r="G27" s="180"/>
      <c r="H27" s="763" t="str">
        <f>'Introducerea datelor'!B64</f>
        <v>Zile necesare pentru remiterea PU/DR final către ALF</v>
      </c>
      <c r="I27" s="764"/>
      <c r="J27" s="242">
        <f>+'Introducerea datelor'!C64</f>
        <v>60</v>
      </c>
      <c r="K27" s="262">
        <f>+'Introducerea datelor'!D64</f>
        <v>89</v>
      </c>
    </row>
    <row r="28" spans="1:13" ht="25.5" customHeight="1">
      <c r="G28" s="180"/>
      <c r="H28" s="763" t="str">
        <f>'Introducerea datelor'!B65</f>
        <v>Zile necesare pentru debursare către RP</v>
      </c>
      <c r="I28" s="764"/>
      <c r="J28" s="242">
        <f>+'Introducerea datelor'!C65</f>
        <v>5</v>
      </c>
      <c r="K28" s="262">
        <f>+'Introducerea datelor'!D65</f>
        <v>5</v>
      </c>
    </row>
    <row r="29" spans="1:13" ht="24.75" customHeight="1" thickBot="1">
      <c r="G29" s="180"/>
      <c r="H29" s="759" t="str">
        <f>'Introducerea datelor'!B66</f>
        <v>Zile necesare pentru debursare către SR</v>
      </c>
      <c r="I29" s="760"/>
      <c r="J29" s="243">
        <f>+'Introducerea datelor'!C66</f>
        <v>5</v>
      </c>
      <c r="K29" s="309">
        <f>+'Introducerea datelor'!D66</f>
        <v>5</v>
      </c>
    </row>
    <row r="31" spans="1:13">
      <c r="C31" s="15"/>
      <c r="D31" s="135"/>
    </row>
    <row r="32" spans="1:13">
      <c r="C32" s="15"/>
      <c r="D32" s="135"/>
    </row>
    <row r="34" spans="5:5">
      <c r="E34" s="2"/>
    </row>
  </sheetData>
  <sheetProtection sheet="1" objects="1" scenarios="1"/>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34" priority="4" stopIfTrue="1" operator="greaterThan">
      <formula>J27</formula>
    </cfRule>
    <cfRule type="cellIs" dxfId="33" priority="5" stopIfTrue="1" operator="between">
      <formula>J27</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B52" zoomScaleNormal="100" zoomScaleSheetLayoutView="100" workbookViewId="0">
      <selection activeCell="S57" sqref="S57"/>
    </sheetView>
  </sheetViews>
  <sheetFormatPr defaultColWidth="11" defaultRowHeight="15"/>
  <cols>
    <col min="1" max="1" width="6" style="592" hidden="1" customWidth="1"/>
    <col min="2" max="2" width="17.140625" style="240" bestFit="1" customWidth="1"/>
    <col min="3" max="3" width="14" style="3" bestFit="1" customWidth="1"/>
    <col min="4" max="4" width="14.140625" style="3" customWidth="1"/>
    <col min="5" max="5" width="14.85546875" style="3" customWidth="1"/>
    <col min="6" max="6" width="11.7109375" style="241" customWidth="1"/>
    <col min="7" max="7" width="11" style="241" bestFit="1" customWidth="1"/>
    <col min="8" max="10" width="6" style="3" customWidth="1"/>
    <col min="11" max="11" width="14.140625" style="3" customWidth="1"/>
    <col min="12" max="12" width="5.28515625" style="3" bestFit="1" customWidth="1"/>
    <col min="13" max="13" width="17.140625" style="3" customWidth="1"/>
    <col min="14" max="14" width="5" style="3" customWidth="1"/>
    <col min="15" max="15" width="6.5703125" style="3" customWidth="1"/>
    <col min="16" max="16" width="4.140625" style="3" customWidth="1"/>
    <col min="17" max="17" width="8" style="3" bestFit="1" customWidth="1"/>
    <col min="18" max="18" width="27.7109375" style="3" customWidth="1"/>
    <col min="19" max="19" width="6.5703125" style="3" customWidth="1"/>
    <col min="20" max="20" width="4.85546875" style="593" bestFit="1" customWidth="1"/>
    <col min="21" max="21" width="9.28515625" style="593" bestFit="1" customWidth="1"/>
    <col min="22" max="23" width="11" style="593"/>
    <col min="24" max="24" width="9.28515625" style="593" bestFit="1" customWidth="1"/>
    <col min="25" max="25" width="7.7109375" style="593" bestFit="1" customWidth="1"/>
    <col min="26" max="26" width="11" style="593"/>
    <col min="27" max="27" width="6.5703125" style="593" bestFit="1" customWidth="1"/>
    <col min="28" max="28" width="7.140625" style="593" bestFit="1" customWidth="1"/>
    <col min="29" max="29" width="9.28515625" style="593" bestFit="1" customWidth="1"/>
    <col min="30" max="32" width="11" style="593"/>
    <col min="33" max="33" width="9.28515625" style="593" bestFit="1" customWidth="1"/>
    <col min="34" max="16384" width="11" style="3"/>
  </cols>
  <sheetData>
    <row r="2" spans="1:36" ht="18.75">
      <c r="C2" s="750" t="str">
        <f>+"Tabel Programatic de Evaluare:  "&amp;"  "&amp;IF(+'Introducerea datelor'!C4="Please Select","",'Introducerea datelor'!C4&amp;" - ")&amp;IF('Introducerea datelor'!G6="Please Select","",'Introducerea datelor'!G6)</f>
        <v>Tabel Programatic de Evaluare:    Moldova - HIVAIDS / TB</v>
      </c>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row>
    <row r="3" spans="1:36" ht="24.75" customHeight="1">
      <c r="C3" s="426" t="str">
        <f>+IF('Introducerea datelor'!G8="Please Select","",'Introducerea datelor'!G8)</f>
        <v/>
      </c>
      <c r="D3" s="755" t="str">
        <f>+IF('Introducerea datelor'!I8="Please Select","",'Introducerea datelor'!I8)</f>
        <v/>
      </c>
      <c r="E3" s="755"/>
      <c r="F3" s="753"/>
      <c r="G3" s="753"/>
      <c r="H3" s="753"/>
      <c r="I3" s="753"/>
      <c r="J3" s="786"/>
      <c r="K3" s="786"/>
      <c r="L3" s="786"/>
      <c r="O3" s="796" t="str">
        <f>+'Introducerea datelor'!B16</f>
        <v>Perioada de Raportare:</v>
      </c>
      <c r="P3" s="737"/>
      <c r="Q3" s="737"/>
      <c r="R3" s="121" t="str">
        <f>+'Introducerea datelor'!C16</f>
        <v>P2</v>
      </c>
    </row>
    <row r="4" spans="1:36">
      <c r="C4" s="426" t="str">
        <f>+'Introducerea datelor'!B12</f>
        <v>Ultimul Rating:</v>
      </c>
      <c r="D4" s="787" t="str">
        <f>+IF('Introducerea datelor'!C12="Please Select","",'Introducerea datelor'!C12)</f>
        <v/>
      </c>
      <c r="E4" s="787"/>
      <c r="F4" s="753" t="str">
        <f>+'Introducerea datelor'!C8</f>
        <v>IP UCIMP DS</v>
      </c>
      <c r="G4" s="753"/>
      <c r="H4" s="753"/>
      <c r="I4" s="753"/>
      <c r="J4" s="753"/>
      <c r="K4" s="753"/>
      <c r="L4" s="753"/>
      <c r="M4" s="753"/>
      <c r="P4" s="185"/>
      <c r="Q4" s="426" t="str">
        <f>+'Introducerea datelor'!D16</f>
        <v>De la:</v>
      </c>
      <c r="R4" s="594">
        <f>+IF(ISBLANK('Introducerea datelor'!E16),"",'Introducerea datelor'!E16)</f>
        <v>43282</v>
      </c>
      <c r="Z4" s="5"/>
      <c r="AA4" s="5"/>
      <c r="AB4" s="5"/>
      <c r="AC4" s="5"/>
      <c r="AD4" s="5"/>
    </row>
    <row r="5" spans="1:36">
      <c r="C5" s="426"/>
      <c r="D5" s="426"/>
      <c r="E5" s="753" t="str">
        <f>+'Introducerea datelor'!G4</f>
        <v>Consolidarea controlului tuberculozei și reducerea SIDA și a mortalității aferente în Republica Moldova</v>
      </c>
      <c r="F5" s="753"/>
      <c r="G5" s="753"/>
      <c r="H5" s="753"/>
      <c r="I5" s="753"/>
      <c r="J5" s="753"/>
      <c r="K5" s="753"/>
      <c r="L5" s="753"/>
      <c r="M5" s="753"/>
      <c r="N5" s="753"/>
      <c r="O5" s="753"/>
      <c r="Q5" s="426" t="str">
        <f>+'Introducerea datelor'!F16</f>
        <v>Pînă la:</v>
      </c>
      <c r="R5" s="594">
        <f>+IF(ISBLANK('Introducerea datelor'!G16),"",'Introducerea datelor'!G16)</f>
        <v>43465</v>
      </c>
      <c r="T5" s="5"/>
      <c r="U5" s="5"/>
      <c r="V5" s="5"/>
      <c r="W5" s="5"/>
      <c r="X5" s="5"/>
      <c r="Y5" s="5"/>
      <c r="Z5" s="5"/>
      <c r="AA5" s="5"/>
      <c r="AB5" s="5" t="s">
        <v>23</v>
      </c>
      <c r="AC5" s="5"/>
      <c r="AD5" s="5" t="s">
        <v>212</v>
      </c>
      <c r="AE5" s="5"/>
      <c r="AF5" s="5"/>
      <c r="AG5" s="5"/>
      <c r="AH5" s="595"/>
      <c r="AI5" s="595"/>
      <c r="AJ5" s="595"/>
    </row>
    <row r="6" spans="1:36" ht="18.75">
      <c r="C6" s="426"/>
      <c r="D6" s="426"/>
      <c r="E6" s="428"/>
      <c r="F6" s="428"/>
      <c r="G6" s="785" t="s">
        <v>386</v>
      </c>
      <c r="H6" s="785"/>
      <c r="I6" s="785"/>
      <c r="J6" s="785"/>
      <c r="K6" s="785"/>
      <c r="L6" s="785"/>
      <c r="M6" s="428"/>
      <c r="P6" s="123"/>
      <c r="Q6" s="144"/>
      <c r="T6" s="5"/>
      <c r="U6" s="5"/>
      <c r="V6" s="5"/>
      <c r="W6" s="5"/>
      <c r="X6" s="5"/>
      <c r="Y6" s="5"/>
      <c r="Z6" s="5"/>
      <c r="AA6" s="5"/>
      <c r="AB6" s="5"/>
      <c r="AC6" s="5"/>
      <c r="AD6" s="5"/>
      <c r="AE6" s="5"/>
      <c r="AF6" s="5"/>
      <c r="AG6" s="5"/>
      <c r="AH6" s="595"/>
      <c r="AI6" s="595"/>
      <c r="AJ6" s="595"/>
    </row>
    <row r="7" spans="1:36">
      <c r="C7" s="426"/>
      <c r="D7" s="426"/>
      <c r="E7" s="428"/>
      <c r="F7" s="428"/>
      <c r="G7" s="428"/>
      <c r="H7" s="428"/>
      <c r="I7" s="428"/>
      <c r="J7" s="428"/>
      <c r="K7" s="428"/>
      <c r="L7" s="428"/>
      <c r="M7" s="428"/>
      <c r="P7" s="123"/>
      <c r="Q7" s="122"/>
      <c r="R7" s="122"/>
      <c r="T7" s="5"/>
      <c r="U7" s="5"/>
      <c r="V7" s="5"/>
      <c r="W7" s="5"/>
      <c r="X7" s="5"/>
      <c r="Y7" s="5"/>
      <c r="Z7" s="5"/>
      <c r="AA7" s="5"/>
      <c r="AB7" s="5"/>
      <c r="AC7" s="5"/>
      <c r="AD7" s="5"/>
      <c r="AE7" s="5"/>
      <c r="AF7" s="5"/>
      <c r="AG7" s="5"/>
      <c r="AH7" s="595"/>
      <c r="AI7" s="595"/>
      <c r="AJ7" s="595"/>
    </row>
    <row r="8" spans="1:36" s="597" customFormat="1" ht="42" customHeight="1">
      <c r="A8" s="596"/>
      <c r="B8" s="407"/>
      <c r="D8" s="778" t="str">
        <f>+'Introducerea datelor'!B119</f>
        <v>TB I-3(M): Rata mortalităţii  - Numărul estimat de decese cauzate de TB (toate formele) pe an, la 100,000 persoane</v>
      </c>
      <c r="E8" s="778"/>
      <c r="F8" s="778"/>
      <c r="G8" s="598"/>
      <c r="H8" s="778" t="str">
        <f>+'Introducerea datelor'!B121</f>
        <v xml:space="preserve">TB I-4(M): Prevalența TB MDR printre cazurile noi de tuberculoză </v>
      </c>
      <c r="I8" s="778"/>
      <c r="J8" s="778"/>
      <c r="K8" s="778"/>
      <c r="L8" s="778"/>
      <c r="M8" s="599"/>
      <c r="N8" s="779" t="str">
        <f>+'Introducerea datelor'!B123</f>
        <v>HIV I-4: Mortalitatea asociată cu SIDA la 100,000 populaţie</v>
      </c>
      <c r="O8" s="779"/>
      <c r="P8" s="779"/>
      <c r="Q8" s="779"/>
      <c r="R8" s="779"/>
      <c r="T8" s="600"/>
      <c r="U8" s="600"/>
      <c r="V8" s="600"/>
      <c r="W8" s="600"/>
      <c r="X8" s="600"/>
      <c r="Y8" s="600"/>
      <c r="Z8" s="600"/>
      <c r="AA8" s="600"/>
      <c r="AB8" s="600"/>
      <c r="AC8" s="600"/>
      <c r="AD8" s="600"/>
      <c r="AE8" s="600"/>
      <c r="AF8" s="600"/>
      <c r="AG8" s="600"/>
    </row>
    <row r="9" spans="1:36" ht="144.75" customHeight="1">
      <c r="C9" s="601" t="s">
        <v>381</v>
      </c>
      <c r="D9" s="780" t="s">
        <v>533</v>
      </c>
      <c r="E9" s="783"/>
      <c r="F9" s="784"/>
      <c r="G9" s="602" t="s">
        <v>382</v>
      </c>
      <c r="H9" s="780" t="s">
        <v>534</v>
      </c>
      <c r="I9" s="783"/>
      <c r="J9" s="783"/>
      <c r="K9" s="783"/>
      <c r="L9" s="784"/>
      <c r="M9" s="602" t="s">
        <v>383</v>
      </c>
      <c r="N9" s="780" t="s">
        <v>535</v>
      </c>
      <c r="O9" s="781"/>
      <c r="P9" s="781"/>
      <c r="Q9" s="781"/>
      <c r="R9" s="782"/>
    </row>
    <row r="10" spans="1:36">
      <c r="C10" s="426"/>
      <c r="D10" s="426"/>
      <c r="E10" s="428"/>
      <c r="F10" s="428"/>
      <c r="G10" s="428"/>
      <c r="H10" s="428"/>
      <c r="I10" s="428"/>
      <c r="J10" s="428"/>
      <c r="K10" s="428"/>
      <c r="L10" s="428"/>
      <c r="M10" s="428"/>
      <c r="P10" s="123"/>
      <c r="Q10" s="122"/>
    </row>
    <row r="11" spans="1:36">
      <c r="C11" s="426"/>
      <c r="D11" s="426"/>
      <c r="E11" s="428"/>
      <c r="F11" s="428"/>
      <c r="G11" s="428"/>
      <c r="H11" s="428"/>
      <c r="I11" s="428"/>
      <c r="J11" s="428"/>
      <c r="K11" s="428"/>
      <c r="L11" s="428"/>
      <c r="M11" s="428"/>
      <c r="P11" s="123"/>
      <c r="Q11" s="122"/>
    </row>
    <row r="12" spans="1:36">
      <c r="C12" s="426"/>
      <c r="D12" s="426"/>
      <c r="E12" s="428"/>
      <c r="F12" s="428"/>
      <c r="G12" s="428"/>
      <c r="H12" s="428"/>
      <c r="I12" s="428"/>
      <c r="J12" s="428"/>
      <c r="K12" s="428"/>
      <c r="L12" s="428"/>
      <c r="M12" s="428"/>
      <c r="P12" s="123"/>
      <c r="Q12" s="122"/>
    </row>
    <row r="13" spans="1:36">
      <c r="C13" s="426"/>
      <c r="D13" s="426"/>
      <c r="E13" s="428"/>
      <c r="F13" s="428"/>
      <c r="G13" s="428"/>
      <c r="H13" s="428"/>
      <c r="I13" s="428"/>
      <c r="J13" s="428"/>
      <c r="K13" s="428"/>
      <c r="L13" s="428"/>
      <c r="M13" s="428"/>
      <c r="P13" s="123"/>
      <c r="Q13" s="122"/>
    </row>
    <row r="14" spans="1:36">
      <c r="C14" s="426"/>
      <c r="D14" s="426"/>
      <c r="E14" s="428"/>
      <c r="F14" s="428"/>
      <c r="G14" s="428"/>
      <c r="H14" s="428"/>
      <c r="I14" s="428"/>
      <c r="J14" s="428"/>
      <c r="K14" s="428"/>
      <c r="L14" s="428"/>
      <c r="M14" s="428"/>
      <c r="P14" s="123"/>
      <c r="Q14" s="122"/>
    </row>
    <row r="15" spans="1:36">
      <c r="C15" s="426"/>
      <c r="D15" s="426"/>
      <c r="E15" s="428"/>
      <c r="F15" s="428"/>
      <c r="G15" s="428"/>
      <c r="H15" s="428"/>
      <c r="I15" s="428"/>
      <c r="J15" s="428"/>
      <c r="K15" s="428"/>
      <c r="L15" s="428"/>
      <c r="M15" s="428"/>
      <c r="P15" s="123"/>
      <c r="Q15" s="122"/>
    </row>
    <row r="16" spans="1:36">
      <c r="C16" s="426"/>
      <c r="D16" s="426"/>
      <c r="E16" s="428"/>
      <c r="F16" s="428"/>
      <c r="G16" s="428"/>
      <c r="H16" s="428"/>
      <c r="I16" s="428"/>
      <c r="J16" s="428"/>
      <c r="K16" s="428"/>
      <c r="L16" s="428"/>
      <c r="M16" s="428"/>
      <c r="P16" s="123"/>
      <c r="Q16" s="122"/>
    </row>
    <row r="17" spans="1:36">
      <c r="C17" s="426"/>
      <c r="D17" s="426"/>
      <c r="E17" s="428"/>
      <c r="F17" s="428"/>
      <c r="G17" s="428"/>
      <c r="H17" s="428"/>
      <c r="I17" s="428"/>
      <c r="J17" s="428"/>
      <c r="K17" s="428"/>
      <c r="L17" s="428"/>
      <c r="M17" s="428"/>
      <c r="P17" s="123"/>
      <c r="Q17" s="122"/>
      <c r="T17" s="5"/>
      <c r="U17" s="5"/>
      <c r="V17" s="5"/>
      <c r="W17" s="5"/>
      <c r="X17" s="5"/>
      <c r="Y17" s="5"/>
      <c r="Z17" s="5"/>
      <c r="AA17" s="5"/>
      <c r="AB17" s="5"/>
      <c r="AC17" s="5"/>
      <c r="AD17" s="5"/>
      <c r="AE17" s="5"/>
      <c r="AF17" s="5"/>
      <c r="AG17" s="5"/>
      <c r="AH17" s="595"/>
      <c r="AI17" s="595"/>
      <c r="AJ17" s="595"/>
    </row>
    <row r="18" spans="1:36">
      <c r="A18" s="3"/>
      <c r="B18" s="3"/>
      <c r="F18" s="3"/>
      <c r="G18" s="3"/>
    </row>
    <row r="19" spans="1:36" s="597" customFormat="1" ht="50.25" customHeight="1">
      <c r="D19" s="778" t="str">
        <f>+'Introducerea datelor'!B125</f>
        <v xml:space="preserve">HIV I-9a (M): Procentul BSB care trăiesc cu HIV </v>
      </c>
      <c r="E19" s="778"/>
      <c r="F19" s="778"/>
      <c r="G19" s="598"/>
      <c r="H19" s="778" t="str">
        <f>+'Introducerea datelor'!B127</f>
        <v>HIV I-10 (M): Procentul LSC care trăiesc cu HIV</v>
      </c>
      <c r="I19" s="778"/>
      <c r="J19" s="778"/>
      <c r="K19" s="778"/>
      <c r="L19" s="778"/>
      <c r="M19" s="599"/>
      <c r="N19" s="779" t="str">
        <f>+'Introducerea datelor'!B129</f>
        <v>HIV I-11 (M): Procentul consumatorilor de droguri injectabile care trăiesc cu HIV</v>
      </c>
      <c r="O19" s="779"/>
      <c r="P19" s="779"/>
      <c r="Q19" s="779"/>
      <c r="R19" s="779"/>
      <c r="T19" s="600"/>
      <c r="U19" s="600"/>
      <c r="V19" s="600"/>
      <c r="W19" s="600"/>
      <c r="X19" s="600"/>
      <c r="Y19" s="600"/>
      <c r="Z19" s="600"/>
      <c r="AA19" s="600"/>
      <c r="AB19" s="600"/>
      <c r="AC19" s="600"/>
      <c r="AD19" s="600"/>
      <c r="AE19" s="600"/>
      <c r="AF19" s="600"/>
      <c r="AG19" s="600"/>
    </row>
    <row r="20" spans="1:36" ht="117.75" customHeight="1">
      <c r="A20" s="3"/>
      <c r="B20" s="3"/>
      <c r="C20" s="601" t="s">
        <v>381</v>
      </c>
      <c r="D20" s="780" t="s">
        <v>510</v>
      </c>
      <c r="E20" s="783"/>
      <c r="F20" s="784"/>
      <c r="G20" s="602" t="s">
        <v>382</v>
      </c>
      <c r="H20" s="780" t="s">
        <v>510</v>
      </c>
      <c r="I20" s="783"/>
      <c r="J20" s="783"/>
      <c r="K20" s="783"/>
      <c r="L20" s="784"/>
      <c r="M20" s="602" t="s">
        <v>383</v>
      </c>
      <c r="N20" s="780" t="s">
        <v>510</v>
      </c>
      <c r="O20" s="781"/>
      <c r="P20" s="781"/>
      <c r="Q20" s="781"/>
      <c r="R20" s="782"/>
    </row>
    <row r="21" spans="1:36">
      <c r="A21" s="3"/>
      <c r="B21" s="3"/>
      <c r="C21" s="426"/>
      <c r="D21" s="426"/>
      <c r="E21" s="428"/>
      <c r="F21" s="428"/>
      <c r="G21" s="428"/>
      <c r="H21" s="428"/>
      <c r="I21" s="428"/>
      <c r="J21" s="428"/>
      <c r="K21" s="428"/>
      <c r="L21" s="428"/>
      <c r="M21" s="428"/>
      <c r="P21" s="123"/>
      <c r="Q21" s="122"/>
    </row>
    <row r="22" spans="1:36">
      <c r="A22" s="3"/>
      <c r="B22" s="3"/>
      <c r="C22" s="426"/>
      <c r="D22" s="426"/>
      <c r="E22" s="428"/>
      <c r="F22" s="428"/>
      <c r="G22" s="428"/>
      <c r="H22" s="428"/>
      <c r="I22" s="428"/>
      <c r="J22" s="428"/>
      <c r="K22" s="428"/>
      <c r="L22" s="428"/>
      <c r="M22" s="428"/>
      <c r="P22" s="123"/>
      <c r="Q22" s="122"/>
    </row>
    <row r="23" spans="1:36">
      <c r="A23" s="3"/>
      <c r="B23" s="3"/>
      <c r="C23" s="426"/>
      <c r="D23" s="426"/>
      <c r="E23" s="428"/>
      <c r="F23" s="428"/>
      <c r="G23" s="428"/>
      <c r="H23" s="428"/>
      <c r="I23" s="428"/>
      <c r="J23" s="428"/>
      <c r="K23" s="428"/>
      <c r="L23" s="428"/>
      <c r="M23" s="428"/>
      <c r="P23" s="123"/>
      <c r="Q23" s="122"/>
    </row>
    <row r="24" spans="1:36">
      <c r="A24" s="3"/>
      <c r="B24" s="3"/>
      <c r="C24" s="426"/>
      <c r="D24" s="426"/>
      <c r="E24" s="428"/>
      <c r="F24" s="428"/>
      <c r="G24" s="428"/>
      <c r="H24" s="428"/>
      <c r="I24" s="428"/>
      <c r="J24" s="428"/>
      <c r="K24" s="428"/>
      <c r="L24" s="428"/>
      <c r="M24" s="428"/>
      <c r="P24" s="123"/>
      <c r="Q24" s="122"/>
    </row>
    <row r="25" spans="1:36">
      <c r="A25" s="3"/>
      <c r="B25" s="3"/>
      <c r="C25" s="426"/>
      <c r="D25" s="426"/>
      <c r="E25" s="428"/>
      <c r="F25" s="428"/>
      <c r="G25" s="428"/>
      <c r="H25" s="428"/>
      <c r="I25" s="428"/>
      <c r="J25" s="428"/>
      <c r="K25" s="428"/>
      <c r="L25" s="428"/>
      <c r="M25" s="428"/>
      <c r="P25" s="123"/>
      <c r="Q25" s="122"/>
    </row>
    <row r="26" spans="1:36">
      <c r="A26" s="3"/>
      <c r="B26" s="3"/>
      <c r="C26" s="426"/>
      <c r="D26" s="426"/>
      <c r="E26" s="428"/>
      <c r="F26" s="428"/>
      <c r="G26" s="428"/>
      <c r="H26" s="428"/>
      <c r="I26" s="428"/>
      <c r="J26" s="428"/>
      <c r="K26" s="428"/>
      <c r="L26" s="428"/>
      <c r="M26" s="428"/>
      <c r="P26" s="123"/>
      <c r="Q26" s="122"/>
    </row>
    <row r="27" spans="1:36">
      <c r="A27" s="3"/>
      <c r="B27" s="3"/>
      <c r="C27" s="426"/>
      <c r="D27" s="426"/>
      <c r="E27" s="428"/>
      <c r="F27" s="428"/>
      <c r="G27" s="428"/>
      <c r="H27" s="428"/>
      <c r="I27" s="428"/>
      <c r="J27" s="428"/>
      <c r="K27" s="428"/>
      <c r="L27" s="428"/>
      <c r="M27" s="428"/>
      <c r="P27" s="123"/>
      <c r="Q27" s="122"/>
    </row>
    <row r="28" spans="1:36">
      <c r="A28" s="3"/>
      <c r="B28" s="3"/>
      <c r="C28" s="426"/>
      <c r="D28" s="426"/>
      <c r="E28" s="428"/>
      <c r="F28" s="428"/>
      <c r="G28" s="428"/>
      <c r="H28" s="428"/>
      <c r="I28" s="428"/>
      <c r="J28" s="428"/>
      <c r="K28" s="428"/>
      <c r="L28" s="428"/>
      <c r="M28" s="428"/>
      <c r="P28" s="123"/>
      <c r="Q28" s="122"/>
    </row>
    <row r="29" spans="1:36">
      <c r="F29" s="3"/>
      <c r="G29" s="3"/>
      <c r="T29" s="5"/>
      <c r="U29" s="5"/>
      <c r="V29" s="5"/>
      <c r="W29" s="5"/>
      <c r="X29" s="5"/>
      <c r="Y29" s="5"/>
      <c r="Z29" s="5"/>
      <c r="AA29" s="5"/>
      <c r="AB29" s="5"/>
      <c r="AC29" s="5"/>
      <c r="AD29" s="5"/>
      <c r="AE29" s="5"/>
      <c r="AF29" s="5"/>
      <c r="AG29" s="5"/>
      <c r="AH29" s="595"/>
      <c r="AI29" s="595"/>
      <c r="AJ29" s="595"/>
    </row>
    <row r="30" spans="1:36">
      <c r="C30" s="426"/>
      <c r="D30" s="426"/>
      <c r="E30" s="428"/>
      <c r="F30" s="428"/>
      <c r="G30" s="428"/>
      <c r="H30" s="428"/>
      <c r="I30" s="428"/>
      <c r="J30" s="428"/>
      <c r="K30" s="428"/>
      <c r="L30" s="428"/>
      <c r="M30" s="428"/>
      <c r="P30" s="123"/>
      <c r="Q30" s="122"/>
      <c r="T30" s="5"/>
      <c r="U30" s="5"/>
      <c r="V30" s="5"/>
      <c r="W30" s="5"/>
      <c r="X30" s="5"/>
      <c r="Y30" s="5"/>
      <c r="Z30" s="5"/>
      <c r="AA30" s="5"/>
      <c r="AB30" s="5"/>
      <c r="AC30" s="5"/>
      <c r="AD30" s="5"/>
      <c r="AE30" s="5"/>
      <c r="AF30" s="5"/>
      <c r="AG30" s="5"/>
      <c r="AH30" s="595"/>
      <c r="AI30" s="595"/>
      <c r="AJ30" s="595"/>
    </row>
    <row r="31" spans="1:36">
      <c r="C31" s="426"/>
      <c r="D31" s="426"/>
      <c r="E31" s="428"/>
      <c r="F31" s="428"/>
      <c r="G31" s="428"/>
      <c r="H31" s="428"/>
      <c r="I31" s="428"/>
      <c r="J31" s="428"/>
      <c r="K31" s="428"/>
      <c r="L31" s="428"/>
      <c r="M31" s="428"/>
      <c r="P31" s="123"/>
      <c r="Q31" s="122"/>
      <c r="T31" s="5"/>
      <c r="U31" s="5"/>
      <c r="V31" s="5"/>
      <c r="W31" s="5"/>
      <c r="X31" s="5"/>
      <c r="Y31" s="5"/>
      <c r="Z31" s="5"/>
      <c r="AA31" s="5"/>
      <c r="AB31" s="5"/>
      <c r="AC31" s="5"/>
      <c r="AD31" s="5"/>
      <c r="AE31" s="5"/>
      <c r="AF31" s="5"/>
      <c r="AG31" s="5"/>
      <c r="AH31" s="595"/>
      <c r="AI31" s="595"/>
      <c r="AJ31" s="595"/>
    </row>
    <row r="32" spans="1:36">
      <c r="C32" s="426"/>
      <c r="D32" s="426"/>
      <c r="E32" s="428"/>
      <c r="F32" s="428"/>
      <c r="G32" s="428"/>
      <c r="H32" s="428"/>
      <c r="I32" s="428"/>
      <c r="J32" s="428"/>
      <c r="K32" s="428"/>
      <c r="L32" s="428"/>
      <c r="M32" s="428"/>
      <c r="P32" s="123"/>
      <c r="Q32" s="122"/>
      <c r="T32" s="5"/>
      <c r="U32" s="5"/>
      <c r="V32" s="5"/>
      <c r="W32" s="5"/>
      <c r="X32" s="5"/>
      <c r="Y32" s="5"/>
      <c r="Z32" s="5"/>
      <c r="AA32" s="5"/>
      <c r="AB32" s="5"/>
      <c r="AC32" s="5"/>
      <c r="AD32" s="5"/>
      <c r="AE32" s="5"/>
      <c r="AF32" s="5"/>
      <c r="AG32" s="5"/>
      <c r="AH32" s="595"/>
      <c r="AI32" s="595"/>
      <c r="AJ32" s="595"/>
    </row>
    <row r="33" spans="1:38" ht="18.75">
      <c r="C33" s="99"/>
      <c r="D33" s="426"/>
      <c r="E33" s="97"/>
      <c r="F33" s="797"/>
      <c r="G33" s="797"/>
      <c r="H33" s="797"/>
      <c r="I33" s="797"/>
      <c r="J33" s="797"/>
      <c r="K33" s="797"/>
      <c r="L33" s="797"/>
      <c r="T33" s="5"/>
      <c r="U33" s="5"/>
      <c r="V33" s="5"/>
      <c r="W33" s="5"/>
      <c r="X33" s="5"/>
      <c r="Y33" s="5"/>
      <c r="Z33" s="5"/>
      <c r="AA33" s="5"/>
      <c r="AB33" s="5"/>
      <c r="AC33" s="5"/>
      <c r="AD33" s="5"/>
      <c r="AE33" s="5"/>
      <c r="AF33" s="5"/>
      <c r="AG33" s="5"/>
      <c r="AH33" s="595"/>
      <c r="AI33" s="595"/>
      <c r="AJ33" s="595"/>
    </row>
    <row r="34" spans="1:38" ht="43.5" customHeight="1">
      <c r="C34" s="798" t="s">
        <v>384</v>
      </c>
      <c r="D34" s="798"/>
      <c r="E34" s="798"/>
      <c r="F34" s="429" t="s">
        <v>361</v>
      </c>
      <c r="G34" s="429" t="s">
        <v>362</v>
      </c>
      <c r="H34" s="804" t="s">
        <v>247</v>
      </c>
      <c r="I34" s="805"/>
      <c r="J34" s="806" t="s">
        <v>248</v>
      </c>
      <c r="K34" s="807"/>
      <c r="L34" s="184" t="s">
        <v>249</v>
      </c>
      <c r="M34" s="799" t="s">
        <v>385</v>
      </c>
      <c r="N34" s="800"/>
      <c r="O34" s="800"/>
      <c r="P34" s="800"/>
      <c r="Q34" s="800"/>
      <c r="R34" s="801"/>
      <c r="T34" s="603" t="s">
        <v>53</v>
      </c>
      <c r="U34" s="604">
        <v>0</v>
      </c>
      <c r="V34" s="605">
        <v>0.3</v>
      </c>
      <c r="W34" s="605">
        <v>0.6</v>
      </c>
      <c r="X34" s="605">
        <v>0.9</v>
      </c>
      <c r="Y34" s="605">
        <v>1</v>
      </c>
      <c r="Z34" s="606"/>
      <c r="AA34" s="606"/>
      <c r="AB34" s="603" t="s">
        <v>53</v>
      </c>
      <c r="AC34" s="604">
        <v>0</v>
      </c>
      <c r="AD34" s="605">
        <v>0.2</v>
      </c>
      <c r="AE34" s="605">
        <v>0.4</v>
      </c>
      <c r="AF34" s="605">
        <v>0.6</v>
      </c>
      <c r="AG34" s="605">
        <v>0.8</v>
      </c>
      <c r="AH34" s="606"/>
      <c r="AI34" s="606"/>
      <c r="AJ34" s="606"/>
      <c r="AK34" s="607"/>
      <c r="AL34" s="607"/>
    </row>
    <row r="35" spans="1:38" ht="107.25" customHeight="1">
      <c r="A35" s="608">
        <v>1</v>
      </c>
      <c r="B35" s="308" t="str">
        <f>VLOOKUP(A35,Table1[],2,0)</f>
        <v>Indicator de impact</v>
      </c>
      <c r="C35" s="788" t="str">
        <f>VLOOKUP(A35,Table1[],4,0)</f>
        <v>TB I-3(M): Rata mortalităţii  - Numărul estimat de decese cauzate de TB (toate formele) pe an, la 100,000 persoane</v>
      </c>
      <c r="D35" s="788"/>
      <c r="E35" s="788"/>
      <c r="F35" s="265">
        <f t="shared" ref="F35:F58" si="0">HLOOKUP($R$3,Indicatori,A35*2,0)</f>
        <v>8.1999999999999993</v>
      </c>
      <c r="G35" s="265">
        <f t="shared" ref="G35:G58" si="1">HLOOKUP($R$3,Indicatori,A35*2+1,0)</f>
        <v>7.54</v>
      </c>
      <c r="H35" s="789">
        <f>+IF(ISERROR(G35/F35),0,F35/G35)</f>
        <v>1.0875331564986737</v>
      </c>
      <c r="I35" s="790"/>
      <c r="J35" s="790"/>
      <c r="K35" s="790"/>
      <c r="L35" s="791"/>
      <c r="M35" s="792" t="s">
        <v>532</v>
      </c>
      <c r="N35" s="809"/>
      <c r="O35" s="809"/>
      <c r="P35" s="809"/>
      <c r="Q35" s="809"/>
      <c r="R35" s="810"/>
      <c r="S35" s="593"/>
      <c r="T35" s="603" t="s">
        <v>54</v>
      </c>
      <c r="U35" s="609">
        <v>0.3</v>
      </c>
      <c r="V35" s="605">
        <v>0.6</v>
      </c>
      <c r="W35" s="605">
        <v>0.9</v>
      </c>
      <c r="X35" s="605">
        <v>1</v>
      </c>
      <c r="Y35" s="605">
        <v>2</v>
      </c>
      <c r="Z35" s="606"/>
      <c r="AA35" s="606"/>
      <c r="AB35" s="603" t="s">
        <v>54</v>
      </c>
      <c r="AC35" s="609">
        <v>0.2</v>
      </c>
      <c r="AD35" s="605">
        <v>0.4</v>
      </c>
      <c r="AE35" s="605">
        <v>0.6</v>
      </c>
      <c r="AF35" s="605">
        <v>0.8</v>
      </c>
      <c r="AG35" s="605">
        <v>1</v>
      </c>
      <c r="AH35" s="606"/>
      <c r="AI35" s="606"/>
      <c r="AJ35" s="606"/>
      <c r="AK35" s="607"/>
      <c r="AL35" s="607"/>
    </row>
    <row r="36" spans="1:38" ht="78" customHeight="1">
      <c r="A36" s="608">
        <v>2</v>
      </c>
      <c r="B36" s="308" t="str">
        <f>VLOOKUP(A36,Table1[],2,0)</f>
        <v>Indicator de impact</v>
      </c>
      <c r="C36" s="788" t="str">
        <f>VLOOKUP(A36,Table1[],4,0)</f>
        <v xml:space="preserve">TB I-4(M): Prevalența TB MDR printre cazurile noi de tuberculoză </v>
      </c>
      <c r="D36" s="788"/>
      <c r="E36" s="788"/>
      <c r="F36" s="418">
        <f t="shared" si="0"/>
        <v>0.24</v>
      </c>
      <c r="G36" s="418">
        <f t="shared" si="1"/>
        <v>0.27600000000000002</v>
      </c>
      <c r="H36" s="789">
        <f>+IF(ISERROR(F36/G36),0,F36/G36)</f>
        <v>0.86956521739130421</v>
      </c>
      <c r="I36" s="790"/>
      <c r="J36" s="790"/>
      <c r="K36" s="790"/>
      <c r="L36" s="791"/>
      <c r="M36" s="792" t="s">
        <v>531</v>
      </c>
      <c r="N36" s="811"/>
      <c r="O36" s="811"/>
      <c r="P36" s="811"/>
      <c r="Q36" s="811"/>
      <c r="R36" s="812"/>
      <c r="S36" s="593"/>
      <c r="T36" s="610"/>
      <c r="U36" s="611" t="str">
        <f>"de "&amp;U34&amp;" a "&amp;U35</f>
        <v>de 0 a 0,3</v>
      </c>
      <c r="V36" s="611" t="str">
        <f>"de "&amp;V34&amp;" a "&amp;V35</f>
        <v>de 0,3 a 0,6</v>
      </c>
      <c r="W36" s="611" t="str">
        <f>"de "&amp;W34&amp;" a "&amp;W35</f>
        <v>de 0,6 a 0,9</v>
      </c>
      <c r="X36" s="611" t="str">
        <f>"de "&amp;X34&amp;" a "&amp;X35</f>
        <v>de 0,9 a 1</v>
      </c>
      <c r="Y36" s="611" t="str">
        <f>"de "&amp;Y34&amp;" a "&amp;Y35</f>
        <v>de 1 a 2</v>
      </c>
      <c r="Z36" s="606"/>
      <c r="AA36" s="606" t="s">
        <v>213</v>
      </c>
      <c r="AB36" s="610" t="s">
        <v>212</v>
      </c>
      <c r="AC36" s="611" t="str">
        <f>"de "&amp;AC34&amp;" a "&amp;AC35</f>
        <v>de 0 a 0,2</v>
      </c>
      <c r="AD36" s="611" t="str">
        <f>"de "&amp;AD34&amp;" a "&amp;AD35</f>
        <v>de 0,2 a 0,4</v>
      </c>
      <c r="AE36" s="611" t="str">
        <f>"de "&amp;AE34&amp;" a "&amp;AE35</f>
        <v>de 0,4 a 0,6</v>
      </c>
      <c r="AF36" s="611" t="str">
        <f>"de "&amp;AF34&amp;" a "&amp;AF35</f>
        <v>de 0,6 a 0,8</v>
      </c>
      <c r="AG36" s="611" t="str">
        <f>"de "&amp;AG34&amp;" a "&amp;AG35</f>
        <v>de 0,8 a 1</v>
      </c>
      <c r="AH36" s="606"/>
      <c r="AI36" s="606"/>
      <c r="AJ36" s="606"/>
      <c r="AK36" s="607"/>
      <c r="AL36" s="607"/>
    </row>
    <row r="37" spans="1:38" ht="57.75" customHeight="1">
      <c r="A37" s="608">
        <v>3</v>
      </c>
      <c r="B37" s="308" t="str">
        <f>VLOOKUP(A37,Table1[],2,0)</f>
        <v>Indicator de impact</v>
      </c>
      <c r="C37" s="788" t="str">
        <f>VLOOKUP(A37,Table1[],4,0)</f>
        <v>HIV I-4: Mortalitatea asociată cu SIDA la 100,000 populaţie</v>
      </c>
      <c r="D37" s="788"/>
      <c r="E37" s="788"/>
      <c r="F37" s="418" t="str">
        <f t="shared" si="0"/>
        <v>n/a</v>
      </c>
      <c r="G37" s="418" t="str">
        <f t="shared" si="1"/>
        <v>n/a</v>
      </c>
      <c r="H37" s="789">
        <f>+IF(ISERROR(G37/F37),0,F37/G37)</f>
        <v>0</v>
      </c>
      <c r="I37" s="790"/>
      <c r="J37" s="790"/>
      <c r="K37" s="790"/>
      <c r="L37" s="791"/>
      <c r="M37" s="792" t="s">
        <v>514</v>
      </c>
      <c r="N37" s="793"/>
      <c r="O37" s="793"/>
      <c r="P37" s="793"/>
      <c r="Q37" s="793"/>
      <c r="R37" s="794"/>
      <c r="S37" s="593"/>
      <c r="T37" s="610"/>
      <c r="U37" s="605" t="e">
        <f t="shared" ref="U37:X53" si="2">IF($L35&gt;U$34,IF($L35&lt;=U$35,$L35,NA()),NA())</f>
        <v>#N/A</v>
      </c>
      <c r="V37" s="605" t="e">
        <f t="shared" si="2"/>
        <v>#N/A</v>
      </c>
      <c r="W37" s="605" t="e">
        <f t="shared" si="2"/>
        <v>#N/A</v>
      </c>
      <c r="X37" s="605" t="e">
        <f t="shared" si="2"/>
        <v>#N/A</v>
      </c>
      <c r="Y37" s="605" t="e">
        <f>IF($L35&gt;Y$34,IF($L35&lt;=Y$35,1,NA()),NA())</f>
        <v>#N/A</v>
      </c>
      <c r="Z37" s="606"/>
      <c r="AA37" s="612" t="e">
        <f>+'Detail despre Grant'!#REF!</f>
        <v>#REF!</v>
      </c>
      <c r="AB37" s="605" t="e">
        <f>+IF(AA37="A1",1,IF(AA37="A2",0.8,IF(AA37="B1",0.6,IF(AA37="B2",0.4,0.2))))</f>
        <v>#REF!</v>
      </c>
      <c r="AC37" s="605" t="e">
        <f>IF($AB37&gt;AC$34,IF($AB37&lt;=AC$35,$AB37,NA()),NA())</f>
        <v>#REF!</v>
      </c>
      <c r="AD37" s="605" t="e">
        <f t="shared" ref="AD37:AG47" si="3">IF($AB37&gt;AD$34,IF($AB37&lt;=AD$35,$AB37,NA()),NA())</f>
        <v>#REF!</v>
      </c>
      <c r="AE37" s="605" t="e">
        <f t="shared" si="3"/>
        <v>#REF!</v>
      </c>
      <c r="AF37" s="605" t="e">
        <f t="shared" si="3"/>
        <v>#REF!</v>
      </c>
      <c r="AG37" s="605" t="e">
        <f t="shared" si="3"/>
        <v>#REF!</v>
      </c>
      <c r="AH37" s="606"/>
      <c r="AI37" s="606"/>
      <c r="AJ37" s="606"/>
      <c r="AK37" s="607"/>
      <c r="AL37" s="607"/>
    </row>
    <row r="38" spans="1:38" ht="43.5" customHeight="1">
      <c r="A38" s="608">
        <v>4</v>
      </c>
      <c r="B38" s="308" t="str">
        <f>VLOOKUP(A38,Table1[],2,0)</f>
        <v>Indicator de impact</v>
      </c>
      <c r="C38" s="788" t="str">
        <f>VLOOKUP(A38,Table1[],4,0)</f>
        <v xml:space="preserve">HIV I-9a (M): Procentul BSB care trăiesc cu HIV </v>
      </c>
      <c r="D38" s="788"/>
      <c r="E38" s="788"/>
      <c r="F38" s="418" t="str">
        <f t="shared" si="0"/>
        <v>n/a</v>
      </c>
      <c r="G38" s="418" t="str">
        <f t="shared" si="1"/>
        <v>n/a</v>
      </c>
      <c r="H38" s="789">
        <f>+IF(ISERROR(F38/G38),0,G38/F38)</f>
        <v>0</v>
      </c>
      <c r="I38" s="790"/>
      <c r="J38" s="790"/>
      <c r="K38" s="790"/>
      <c r="L38" s="791"/>
      <c r="M38" s="792" t="s">
        <v>510</v>
      </c>
      <c r="N38" s="793"/>
      <c r="O38" s="793"/>
      <c r="P38" s="793"/>
      <c r="Q38" s="793"/>
      <c r="R38" s="794"/>
      <c r="S38" s="593"/>
      <c r="T38" s="610"/>
      <c r="U38" s="605"/>
      <c r="V38" s="605"/>
      <c r="W38" s="605"/>
      <c r="X38" s="605"/>
      <c r="Y38" s="605"/>
      <c r="Z38" s="606"/>
      <c r="AA38" s="612"/>
      <c r="AB38" s="605"/>
      <c r="AC38" s="605"/>
      <c r="AD38" s="605"/>
      <c r="AE38" s="605"/>
      <c r="AF38" s="605"/>
      <c r="AG38" s="605"/>
      <c r="AH38" s="606"/>
      <c r="AI38" s="606"/>
      <c r="AJ38" s="606"/>
      <c r="AK38" s="607"/>
      <c r="AL38" s="607"/>
    </row>
    <row r="39" spans="1:38" ht="43.5" customHeight="1">
      <c r="A39" s="608">
        <v>5</v>
      </c>
      <c r="B39" s="308" t="str">
        <f>VLOOKUP(A39,Table1[],2,0)</f>
        <v>Indicator de impact</v>
      </c>
      <c r="C39" s="788" t="str">
        <f>VLOOKUP(A39,Table1[],4,0)</f>
        <v>HIV I-10 (M): Procentul LSC care trăiesc cu HIV</v>
      </c>
      <c r="D39" s="788"/>
      <c r="E39" s="788"/>
      <c r="F39" s="418" t="str">
        <f t="shared" si="0"/>
        <v>n/a</v>
      </c>
      <c r="G39" s="418" t="str">
        <f t="shared" si="1"/>
        <v>n/a</v>
      </c>
      <c r="H39" s="789">
        <f t="shared" ref="H39:H45" si="4">+IF(ISERROR(F39/G39),0,G39/F39)</f>
        <v>0</v>
      </c>
      <c r="I39" s="790"/>
      <c r="J39" s="790"/>
      <c r="K39" s="790"/>
      <c r="L39" s="791"/>
      <c r="M39" s="792" t="s">
        <v>510</v>
      </c>
      <c r="N39" s="793"/>
      <c r="O39" s="793"/>
      <c r="P39" s="793"/>
      <c r="Q39" s="793"/>
      <c r="R39" s="794"/>
      <c r="S39" s="593"/>
      <c r="T39" s="610"/>
      <c r="U39" s="605"/>
      <c r="V39" s="605"/>
      <c r="W39" s="605"/>
      <c r="X39" s="605"/>
      <c r="Y39" s="605"/>
      <c r="Z39" s="606"/>
      <c r="AA39" s="612"/>
      <c r="AB39" s="605"/>
      <c r="AC39" s="605"/>
      <c r="AD39" s="605"/>
      <c r="AE39" s="605"/>
      <c r="AF39" s="605"/>
      <c r="AG39" s="605"/>
      <c r="AH39" s="606"/>
      <c r="AI39" s="606"/>
      <c r="AJ39" s="606"/>
      <c r="AK39" s="607"/>
      <c r="AL39" s="607"/>
    </row>
    <row r="40" spans="1:38" ht="43.5" customHeight="1">
      <c r="A40" s="608">
        <v>6</v>
      </c>
      <c r="B40" s="308" t="str">
        <f>VLOOKUP(A40,Table1[],2,0)</f>
        <v>Indicator de impact</v>
      </c>
      <c r="C40" s="788" t="str">
        <f>VLOOKUP(A40,Table1[],4,0)</f>
        <v>HIV I-11 (M): Procentul consumatorilor de droguri injectabile care trăiesc cu HIV</v>
      </c>
      <c r="D40" s="788"/>
      <c r="E40" s="788"/>
      <c r="F40" s="418" t="str">
        <f t="shared" si="0"/>
        <v>n/a</v>
      </c>
      <c r="G40" s="418" t="str">
        <f t="shared" si="1"/>
        <v>n/a</v>
      </c>
      <c r="H40" s="789">
        <f t="shared" si="4"/>
        <v>0</v>
      </c>
      <c r="I40" s="790"/>
      <c r="J40" s="790"/>
      <c r="K40" s="790"/>
      <c r="L40" s="791"/>
      <c r="M40" s="792" t="s">
        <v>510</v>
      </c>
      <c r="N40" s="793"/>
      <c r="O40" s="793"/>
      <c r="P40" s="793"/>
      <c r="Q40" s="793"/>
      <c r="R40" s="794"/>
      <c r="S40" s="593"/>
      <c r="T40" s="610"/>
      <c r="U40" s="605"/>
      <c r="V40" s="605"/>
      <c r="W40" s="605"/>
      <c r="X40" s="605"/>
      <c r="Y40" s="605"/>
      <c r="Z40" s="606"/>
      <c r="AA40" s="612"/>
      <c r="AB40" s="605"/>
      <c r="AC40" s="605"/>
      <c r="AD40" s="605"/>
      <c r="AE40" s="605"/>
      <c r="AF40" s="605"/>
      <c r="AG40" s="605"/>
      <c r="AH40" s="606"/>
      <c r="AI40" s="606"/>
      <c r="AJ40" s="606"/>
      <c r="AK40" s="607"/>
      <c r="AL40" s="607"/>
    </row>
    <row r="41" spans="1:38" ht="113.25" customHeight="1">
      <c r="A41" s="608">
        <v>7</v>
      </c>
      <c r="B41" s="308" t="str">
        <f>VLOOKUP(A41,Table1[],2,0)</f>
        <v>Indicator de rezultat</v>
      </c>
      <c r="C41" s="788" t="str">
        <f>VLOOKUP(A41,Table1[],4,0)</f>
        <v xml:space="preserve">TB O-4(M): Rata succesului tratamentului pacienților cu RR TB și/sau MDR-TB </v>
      </c>
      <c r="D41" s="788"/>
      <c r="E41" s="788"/>
      <c r="F41" s="417">
        <f t="shared" si="0"/>
        <v>0.65049999999999997</v>
      </c>
      <c r="G41" s="417">
        <f t="shared" si="1"/>
        <v>0.54400000000000004</v>
      </c>
      <c r="H41" s="789">
        <f>+IF(ISERROR(F41/G41),0,G41/F41)</f>
        <v>0.8362797847809379</v>
      </c>
      <c r="I41" s="790"/>
      <c r="J41" s="790"/>
      <c r="K41" s="790"/>
      <c r="L41" s="791"/>
      <c r="M41" s="792" t="s">
        <v>530</v>
      </c>
      <c r="N41" s="793"/>
      <c r="O41" s="793"/>
      <c r="P41" s="793"/>
      <c r="Q41" s="793"/>
      <c r="R41" s="794"/>
      <c r="S41" s="593"/>
      <c r="T41" s="613"/>
      <c r="U41" s="605"/>
      <c r="V41" s="605"/>
      <c r="W41" s="605"/>
      <c r="X41" s="605"/>
      <c r="Y41" s="605"/>
      <c r="Z41" s="606"/>
      <c r="AA41" s="612"/>
      <c r="AB41" s="605"/>
      <c r="AC41" s="605"/>
      <c r="AD41" s="605"/>
      <c r="AE41" s="605"/>
      <c r="AF41" s="605"/>
      <c r="AG41" s="614"/>
      <c r="AH41" s="17"/>
      <c r="AI41" s="17"/>
      <c r="AJ41" s="17"/>
    </row>
    <row r="42" spans="1:38" ht="102.75" customHeight="1">
      <c r="A42" s="608">
        <v>8</v>
      </c>
      <c r="B42" s="308" t="str">
        <f>VLOOKUP(A42,Table1[],2,0)</f>
        <v>Indicator de rezultat</v>
      </c>
      <c r="C42" s="788" t="str">
        <f>VLOOKUP(A42,Table1[],4,0)</f>
        <v>TB O-1a: Rata de notificare a cazurilor de tuberculoză (toate formele) per 100,000 populație</v>
      </c>
      <c r="D42" s="788"/>
      <c r="E42" s="788"/>
      <c r="F42" s="265">
        <f t="shared" si="0"/>
        <v>96</v>
      </c>
      <c r="G42" s="265">
        <f t="shared" si="1"/>
        <v>74.959999999999994</v>
      </c>
      <c r="H42" s="789">
        <f>+IF(ISERROR(G42/F42),0,F42/G42)</f>
        <v>1.28068303094984</v>
      </c>
      <c r="I42" s="790"/>
      <c r="J42" s="790"/>
      <c r="K42" s="790"/>
      <c r="L42" s="791"/>
      <c r="M42" s="795" t="s">
        <v>529</v>
      </c>
      <c r="N42" s="793"/>
      <c r="O42" s="793"/>
      <c r="P42" s="793"/>
      <c r="Q42" s="793"/>
      <c r="R42" s="794"/>
      <c r="S42" s="593"/>
      <c r="T42" s="613"/>
      <c r="U42" s="605"/>
      <c r="V42" s="605"/>
      <c r="W42" s="605"/>
      <c r="X42" s="605"/>
      <c r="Y42" s="605"/>
      <c r="Z42" s="606"/>
      <c r="AA42" s="612"/>
      <c r="AB42" s="605"/>
      <c r="AC42" s="605"/>
      <c r="AD42" s="605"/>
      <c r="AE42" s="605"/>
      <c r="AF42" s="605"/>
      <c r="AG42" s="614"/>
      <c r="AH42" s="17"/>
      <c r="AI42" s="17"/>
      <c r="AJ42" s="17"/>
    </row>
    <row r="43" spans="1:38" ht="43.5" customHeight="1">
      <c r="A43" s="608">
        <v>9</v>
      </c>
      <c r="B43" s="308" t="str">
        <f>VLOOKUP(A43,Table1[],2,0)</f>
        <v>Indicator de rezultat</v>
      </c>
      <c r="C43" s="788" t="str">
        <f>VLOOKUP(A43,Table1[],4,0)</f>
        <v>TB O-5(M): Rata de acoperire cu tratament antituberculos</v>
      </c>
      <c r="D43" s="788"/>
      <c r="E43" s="788"/>
      <c r="F43" s="417" t="str">
        <f t="shared" si="0"/>
        <v>n/a</v>
      </c>
      <c r="G43" s="417" t="str">
        <f t="shared" si="1"/>
        <v>n/a</v>
      </c>
      <c r="H43" s="789">
        <f t="shared" si="4"/>
        <v>0</v>
      </c>
      <c r="I43" s="790"/>
      <c r="J43" s="790"/>
      <c r="K43" s="790"/>
      <c r="L43" s="791"/>
      <c r="M43" s="792" t="s">
        <v>513</v>
      </c>
      <c r="N43" s="793"/>
      <c r="O43" s="793"/>
      <c r="P43" s="793"/>
      <c r="Q43" s="793"/>
      <c r="R43" s="794"/>
      <c r="S43" s="593"/>
      <c r="T43" s="613"/>
      <c r="U43" s="605"/>
      <c r="V43" s="605"/>
      <c r="W43" s="605"/>
      <c r="X43" s="605"/>
      <c r="Y43" s="605"/>
      <c r="Z43" s="606"/>
      <c r="AA43" s="612"/>
      <c r="AB43" s="605"/>
      <c r="AC43" s="605"/>
      <c r="AD43" s="605"/>
      <c r="AE43" s="605"/>
      <c r="AF43" s="605"/>
      <c r="AG43" s="614"/>
      <c r="AH43" s="17"/>
      <c r="AI43" s="17"/>
      <c r="AJ43" s="17"/>
    </row>
    <row r="44" spans="1:38" ht="54" customHeight="1">
      <c r="A44" s="608">
        <v>10</v>
      </c>
      <c r="B44" s="308" t="str">
        <f>VLOOKUP(A44,Table1[],2,0)</f>
        <v>Indicator de rezultat</v>
      </c>
      <c r="C44" s="788" t="str">
        <f>VLOOKUP(A44,Table1[],4,0)</f>
        <v xml:space="preserve">HIV O-1 (M): Procentul adulţilor şi copiilor HIV infectaţi care se află în tratament 12 luni după iniţierea tratamentului antiretroviral </v>
      </c>
      <c r="D44" s="788"/>
      <c r="E44" s="788"/>
      <c r="F44" s="417" t="str">
        <f t="shared" si="0"/>
        <v>n/a</v>
      </c>
      <c r="G44" s="417" t="str">
        <f t="shared" si="1"/>
        <v>n/a</v>
      </c>
      <c r="H44" s="789">
        <f t="shared" si="4"/>
        <v>0</v>
      </c>
      <c r="I44" s="790"/>
      <c r="J44" s="790"/>
      <c r="K44" s="790"/>
      <c r="L44" s="791"/>
      <c r="M44" s="792" t="s">
        <v>515</v>
      </c>
      <c r="N44" s="793"/>
      <c r="O44" s="793"/>
      <c r="P44" s="793"/>
      <c r="Q44" s="793"/>
      <c r="R44" s="794"/>
      <c r="S44" s="593"/>
      <c r="T44" s="613"/>
      <c r="U44" s="605"/>
      <c r="V44" s="605"/>
      <c r="W44" s="605"/>
      <c r="X44" s="605"/>
      <c r="Y44" s="605"/>
      <c r="Z44" s="606"/>
      <c r="AA44" s="612"/>
      <c r="AB44" s="605"/>
      <c r="AC44" s="605"/>
      <c r="AD44" s="605"/>
      <c r="AE44" s="605"/>
      <c r="AF44" s="605"/>
      <c r="AG44" s="614"/>
      <c r="AH44" s="17"/>
      <c r="AI44" s="17"/>
      <c r="AJ44" s="17"/>
    </row>
    <row r="45" spans="1:38" ht="43.5" customHeight="1">
      <c r="A45" s="608">
        <v>11</v>
      </c>
      <c r="B45" s="308" t="str">
        <f>VLOOKUP(A45,Table1[],2,0)</f>
        <v>Indicator de rezultat</v>
      </c>
      <c r="C45" s="788" t="str">
        <f>VLOOKUP(A45,Table1[],4,0)</f>
        <v>HIV O-4a (M): Procentul BSB care raportează utilizarea prezervativului în timpul ultimului act de sex anal cu partenerul de gen masculin</v>
      </c>
      <c r="D45" s="788"/>
      <c r="E45" s="788"/>
      <c r="F45" s="417" t="str">
        <f t="shared" si="0"/>
        <v>n/a</v>
      </c>
      <c r="G45" s="417" t="str">
        <f t="shared" si="1"/>
        <v>n/a</v>
      </c>
      <c r="H45" s="789">
        <f t="shared" si="4"/>
        <v>0</v>
      </c>
      <c r="I45" s="790"/>
      <c r="J45" s="790"/>
      <c r="K45" s="790"/>
      <c r="L45" s="791"/>
      <c r="M45" s="792" t="s">
        <v>510</v>
      </c>
      <c r="N45" s="793"/>
      <c r="O45" s="793"/>
      <c r="P45" s="793"/>
      <c r="Q45" s="793"/>
      <c r="R45" s="794"/>
      <c r="S45" s="593"/>
      <c r="T45" s="613"/>
      <c r="U45" s="605"/>
      <c r="V45" s="605"/>
      <c r="W45" s="605"/>
      <c r="X45" s="605"/>
      <c r="Y45" s="605"/>
      <c r="Z45" s="606"/>
      <c r="AA45" s="612"/>
      <c r="AB45" s="605"/>
      <c r="AC45" s="605"/>
      <c r="AD45" s="605"/>
      <c r="AE45" s="605"/>
      <c r="AF45" s="605"/>
      <c r="AG45" s="614"/>
      <c r="AH45" s="17"/>
      <c r="AI45" s="17"/>
      <c r="AJ45" s="17"/>
    </row>
    <row r="46" spans="1:38" ht="43.5" customHeight="1">
      <c r="A46" s="608">
        <v>12</v>
      </c>
      <c r="B46" s="308" t="str">
        <f>VLOOKUP(A46,Table1[],2,0)</f>
        <v>Indicator de rezultat</v>
      </c>
      <c r="C46" s="788" t="str">
        <f>VLOOKUP(A46,Table1[],4,0)</f>
        <v>HIV O-5 (M): Procentul LSC care raportează utilizarea prezervativului cu ultimul lor client</v>
      </c>
      <c r="D46" s="788"/>
      <c r="E46" s="788"/>
      <c r="F46" s="417" t="str">
        <f t="shared" si="0"/>
        <v>n/a</v>
      </c>
      <c r="G46" s="417" t="str">
        <f t="shared" si="1"/>
        <v>n/a</v>
      </c>
      <c r="H46" s="789">
        <f>+IF(ISERROR(G46/F46),0,G46/F46)</f>
        <v>0</v>
      </c>
      <c r="I46" s="790"/>
      <c r="J46" s="790"/>
      <c r="K46" s="790"/>
      <c r="L46" s="791"/>
      <c r="M46" s="792" t="s">
        <v>510</v>
      </c>
      <c r="N46" s="793"/>
      <c r="O46" s="793"/>
      <c r="P46" s="793"/>
      <c r="Q46" s="793"/>
      <c r="R46" s="794"/>
      <c r="S46" s="593"/>
      <c r="T46" s="613"/>
      <c r="U46" s="605" t="e">
        <f t="shared" ref="U46:X47" si="5">IF($L36&gt;U$34,IF($L36&lt;=U$35,$L36,NA()),NA())</f>
        <v>#N/A</v>
      </c>
      <c r="V46" s="605" t="e">
        <f t="shared" si="5"/>
        <v>#N/A</v>
      </c>
      <c r="W46" s="605" t="e">
        <f t="shared" si="5"/>
        <v>#N/A</v>
      </c>
      <c r="X46" s="605" t="e">
        <f t="shared" si="5"/>
        <v>#N/A</v>
      </c>
      <c r="Y46" s="605" t="e">
        <f>IF($L36&gt;Y$34,IF($L36&lt;=Y$35,1,1),NA())</f>
        <v>#N/A</v>
      </c>
      <c r="Z46" s="606"/>
      <c r="AA46" s="612" t="e">
        <f>+'Detail despre Grant'!#REF!</f>
        <v>#REF!</v>
      </c>
      <c r="AB46" s="605" t="e">
        <f>+IF(AA46="A1",1,IF(AA46="A2",0.8,IF(AA46="B1",0.6,IF(AA46="B2",0.4,0.2))))</f>
        <v>#REF!</v>
      </c>
      <c r="AC46" s="605" t="e">
        <f>IF($AB46&gt;AC$34,IF($AB46&lt;=AC$35,$AB46,NA()),NA())</f>
        <v>#REF!</v>
      </c>
      <c r="AD46" s="605" t="e">
        <f t="shared" si="3"/>
        <v>#REF!</v>
      </c>
      <c r="AE46" s="605" t="e">
        <f t="shared" si="3"/>
        <v>#REF!</v>
      </c>
      <c r="AF46" s="605" t="e">
        <f t="shared" si="3"/>
        <v>#REF!</v>
      </c>
      <c r="AG46" s="614" t="e">
        <f t="shared" si="3"/>
        <v>#REF!</v>
      </c>
      <c r="AH46" s="17"/>
      <c r="AI46" s="17"/>
      <c r="AJ46" s="17"/>
    </row>
    <row r="47" spans="1:38" ht="43.5" customHeight="1">
      <c r="A47" s="608">
        <v>13</v>
      </c>
      <c r="B47" s="308" t="str">
        <f>VLOOKUP(A47,Table1[],2,0)</f>
        <v>Indicator de rezultat</v>
      </c>
      <c r="C47" s="788" t="str">
        <f>VLOOKUP(A47,Table1[],4,0)</f>
        <v>HIV O-6 (M): Procentul consumatorilor de droguri injectabile care raportează utilizarea setului pentru injectare steril la ultima injectare</v>
      </c>
      <c r="D47" s="788"/>
      <c r="E47" s="788"/>
      <c r="F47" s="417" t="str">
        <f t="shared" si="0"/>
        <v>n/a</v>
      </c>
      <c r="G47" s="417" t="str">
        <f t="shared" si="1"/>
        <v>n/a</v>
      </c>
      <c r="H47" s="789">
        <f>+IF(ISERROR(G47/F47),0,G47/F47)</f>
        <v>0</v>
      </c>
      <c r="I47" s="790"/>
      <c r="J47" s="790"/>
      <c r="K47" s="790"/>
      <c r="L47" s="791"/>
      <c r="M47" s="792" t="s">
        <v>510</v>
      </c>
      <c r="N47" s="793"/>
      <c r="O47" s="793"/>
      <c r="P47" s="793"/>
      <c r="Q47" s="793"/>
      <c r="R47" s="794"/>
      <c r="S47" s="593"/>
      <c r="T47" s="613"/>
      <c r="U47" s="605" t="e">
        <f t="shared" si="5"/>
        <v>#N/A</v>
      </c>
      <c r="V47" s="605" t="e">
        <f t="shared" si="5"/>
        <v>#N/A</v>
      </c>
      <c r="W47" s="605" t="e">
        <f t="shared" si="5"/>
        <v>#N/A</v>
      </c>
      <c r="X47" s="605" t="e">
        <f t="shared" si="5"/>
        <v>#N/A</v>
      </c>
      <c r="Y47" s="605" t="e">
        <f>IF($L37&gt;Y$34,IF($L37&lt;=Y$35,1,NA()),NA())</f>
        <v>#N/A</v>
      </c>
      <c r="Z47" s="606"/>
      <c r="AA47" s="612" t="e">
        <f>+'Detail despre Grant'!#REF!</f>
        <v>#REF!</v>
      </c>
      <c r="AB47" s="605" t="e">
        <f>+IF(AA47="A1",1,IF(AA47="A2",0.8,IF(AA47="B1",0.6,IF(AA47="B2",0.4,0.2))))</f>
        <v>#REF!</v>
      </c>
      <c r="AC47" s="605" t="e">
        <f>IF($AB47&gt;AC$34,IF($AB47&lt;=AC$35,$AB47,NA()),NA())</f>
        <v>#REF!</v>
      </c>
      <c r="AD47" s="605" t="e">
        <f t="shared" si="3"/>
        <v>#REF!</v>
      </c>
      <c r="AE47" s="605" t="e">
        <f t="shared" si="3"/>
        <v>#REF!</v>
      </c>
      <c r="AF47" s="605" t="e">
        <f t="shared" si="3"/>
        <v>#REF!</v>
      </c>
      <c r="AG47" s="614" t="e">
        <f t="shared" si="3"/>
        <v>#REF!</v>
      </c>
      <c r="AH47" s="17"/>
      <c r="AI47" s="17"/>
      <c r="AJ47" s="17"/>
    </row>
    <row r="48" spans="1:38" ht="43.5" customHeight="1">
      <c r="A48" s="608">
        <v>14</v>
      </c>
      <c r="B48" s="308" t="str">
        <f>VLOOKUP(A48,Table1[],2,0)</f>
        <v>Indicator de proces</v>
      </c>
      <c r="C48" s="788" t="str">
        <f>VLOOKUP(A48,Table1[],4,0)</f>
        <v>MDR TB-2(M): Numărul cazurilor de TB DR (RR-TB și/sau MDR-TB), confirmate bacteriologic, notificate</v>
      </c>
      <c r="D48" s="788"/>
      <c r="E48" s="788"/>
      <c r="F48" s="265">
        <f t="shared" si="0"/>
        <v>1069</v>
      </c>
      <c r="G48" s="265">
        <f t="shared" si="1"/>
        <v>811</v>
      </c>
      <c r="H48" s="789">
        <f>+IF(ISERROR(G48/F48),0,G48/F48)</f>
        <v>0.75865294667913941</v>
      </c>
      <c r="I48" s="790"/>
      <c r="J48" s="790"/>
      <c r="K48" s="790"/>
      <c r="L48" s="791"/>
      <c r="M48" s="802" t="s">
        <v>516</v>
      </c>
      <c r="N48" s="808"/>
      <c r="O48" s="808"/>
      <c r="P48" s="808"/>
      <c r="Q48" s="808"/>
      <c r="R48" s="808"/>
      <c r="S48" s="593"/>
      <c r="T48" s="613"/>
      <c r="U48" s="605"/>
      <c r="V48" s="605"/>
      <c r="W48" s="605"/>
      <c r="X48" s="605"/>
      <c r="Y48" s="605"/>
      <c r="Z48" s="606"/>
      <c r="AA48" s="606"/>
      <c r="AB48" s="606"/>
      <c r="AC48" s="606"/>
      <c r="AD48" s="606"/>
      <c r="AE48" s="606"/>
      <c r="AF48" s="606"/>
      <c r="AG48" s="5"/>
      <c r="AH48" s="17"/>
      <c r="AI48" s="17"/>
      <c r="AJ48" s="17"/>
    </row>
    <row r="49" spans="1:36" ht="55.5" customHeight="1">
      <c r="A49" s="608">
        <v>15</v>
      </c>
      <c r="B49" s="308" t="str">
        <f>VLOOKUP(A49,Table1[],2,0)</f>
        <v>Indicator de proces</v>
      </c>
      <c r="C49" s="788" t="str">
        <f>VLOOKUP(A49,Table1[],4,0)</f>
        <v xml:space="preserve">MDR TB-3(M): Numărul cazurilor cu tuberculoză drog-rezistentă (RR-TB și/sau MDR-TB), confirmate bacteriologic, care au demarat tratamentul DOTS-Plus în perioada raportată                </v>
      </c>
      <c r="D49" s="788"/>
      <c r="E49" s="788"/>
      <c r="F49" s="265">
        <f t="shared" si="0"/>
        <v>1061</v>
      </c>
      <c r="G49" s="265">
        <f t="shared" si="1"/>
        <v>937</v>
      </c>
      <c r="H49" s="789">
        <f>+IF(ISERROR(G49/F49),0,G49/F49)</f>
        <v>0.88312912346842598</v>
      </c>
      <c r="I49" s="790"/>
      <c r="J49" s="790"/>
      <c r="K49" s="790"/>
      <c r="L49" s="791"/>
      <c r="M49" s="802" t="s">
        <v>517</v>
      </c>
      <c r="N49" s="803"/>
      <c r="O49" s="803"/>
      <c r="P49" s="803"/>
      <c r="Q49" s="803"/>
      <c r="R49" s="803"/>
      <c r="S49" s="593"/>
      <c r="T49" s="613"/>
      <c r="U49" s="605" t="e">
        <f>IF($L47&gt;U$34,IF($L47&lt;=U$35,$L47,NA()),NA())</f>
        <v>#N/A</v>
      </c>
      <c r="V49" s="605" t="e">
        <f>IF($L47&gt;V$34,IF($L47&lt;=V$35,$L47,NA()),NA())</f>
        <v>#N/A</v>
      </c>
      <c r="W49" s="605" t="e">
        <f>IF($L47&gt;W$34,IF($L47&lt;=W$35,$L47,NA()),NA())</f>
        <v>#N/A</v>
      </c>
      <c r="X49" s="605" t="e">
        <f>IF($L47&gt;X$34,IF($L47&lt;=X$35,$L47,NA()),NA())</f>
        <v>#N/A</v>
      </c>
      <c r="Y49" s="605" t="e">
        <f>IF($L47&gt;Y$34,IF($L47&lt;=Y$35,1,NA()),NA())</f>
        <v>#N/A</v>
      </c>
      <c r="Z49" s="606"/>
      <c r="AA49" s="606"/>
      <c r="AB49" s="606"/>
      <c r="AC49" s="606"/>
      <c r="AD49" s="606"/>
      <c r="AE49" s="606"/>
      <c r="AF49" s="606"/>
      <c r="AG49" s="5"/>
      <c r="AH49" s="17"/>
      <c r="AI49" s="17"/>
      <c r="AJ49" s="17"/>
    </row>
    <row r="50" spans="1:36" ht="80.25" customHeight="1">
      <c r="A50" s="608">
        <v>16</v>
      </c>
      <c r="B50" s="308" t="str">
        <f>VLOOKUP(A50,Table1[],2,0)</f>
        <v>Indicator de proces</v>
      </c>
      <c r="C50" s="788" t="str">
        <f>VLOOKUP(A50,Table1[],4,0)</f>
        <v>MDR TB-4: Rezultatul interimar de abandon al tratamentului cazurilor MDR-TB</v>
      </c>
      <c r="D50" s="788"/>
      <c r="E50" s="788"/>
      <c r="F50" s="417">
        <f t="shared" si="0"/>
        <v>8.6999999999999994E-2</v>
      </c>
      <c r="G50" s="417">
        <f t="shared" si="1"/>
        <v>9.5500000000000002E-2</v>
      </c>
      <c r="H50" s="789">
        <f>+IF(ISERROR(G50/F50),0,F50/G50)</f>
        <v>0.91099476439790572</v>
      </c>
      <c r="I50" s="790"/>
      <c r="J50" s="790"/>
      <c r="K50" s="790"/>
      <c r="L50" s="791"/>
      <c r="M50" s="802" t="s">
        <v>528</v>
      </c>
      <c r="N50" s="803"/>
      <c r="O50" s="803"/>
      <c r="P50" s="803"/>
      <c r="Q50" s="803"/>
      <c r="R50" s="803"/>
      <c r="S50" s="593"/>
      <c r="T50" s="613"/>
      <c r="U50" s="605" t="e">
        <f>IF(#REF!&gt;U$34,IF(#REF!&lt;=U$35,#REF!,NA()),NA())</f>
        <v>#REF!</v>
      </c>
      <c r="V50" s="605" t="e">
        <f>IF(#REF!&gt;V$34,IF(#REF!&lt;=V$35,#REF!,NA()),NA())</f>
        <v>#REF!</v>
      </c>
      <c r="W50" s="605" t="e">
        <f>IF(#REF!&gt;W$34,IF(#REF!&lt;=W$35,#REF!,NA()),NA())</f>
        <v>#REF!</v>
      </c>
      <c r="X50" s="605" t="e">
        <f>IF(#REF!&gt;X$34,IF(#REF!&lt;=X$35,#REF!,NA()),NA())</f>
        <v>#REF!</v>
      </c>
      <c r="Y50" s="605" t="e">
        <f>IF(#REF!&gt;Y$34,IF(#REF!&lt;=Y$35,1,NA()),NA())</f>
        <v>#REF!</v>
      </c>
      <c r="Z50" s="606"/>
      <c r="AA50" s="606"/>
      <c r="AB50" s="606"/>
      <c r="AC50" s="606"/>
      <c r="AD50" s="606"/>
      <c r="AE50" s="606"/>
      <c r="AF50" s="606"/>
      <c r="AG50" s="5"/>
      <c r="AH50" s="17"/>
      <c r="AI50" s="17"/>
      <c r="AJ50" s="17"/>
    </row>
    <row r="51" spans="1:36" ht="43.5" customHeight="1">
      <c r="A51" s="608">
        <v>17</v>
      </c>
      <c r="B51" s="308" t="str">
        <f>VLOOKUP(A51,Table1[],2,0)</f>
        <v>Indicator de proces</v>
      </c>
      <c r="C51" s="788" t="str">
        <f>VLOOKUP(A51,Table1[],4,0)</f>
        <v>MDR TB-8: Numărul cazurilor de XDR TB incluși în tratament în perioada raportată</v>
      </c>
      <c r="D51" s="788"/>
      <c r="E51" s="788"/>
      <c r="F51" s="265">
        <f t="shared" si="0"/>
        <v>86</v>
      </c>
      <c r="G51" s="265">
        <f t="shared" si="1"/>
        <v>71</v>
      </c>
      <c r="H51" s="789">
        <f>+IF(ISERROR(F51/G51),0,G51/F51)</f>
        <v>0.82558139534883723</v>
      </c>
      <c r="I51" s="790"/>
      <c r="J51" s="790"/>
      <c r="K51" s="790"/>
      <c r="L51" s="791"/>
      <c r="M51" s="792" t="s">
        <v>518</v>
      </c>
      <c r="N51" s="793"/>
      <c r="O51" s="793"/>
      <c r="P51" s="793"/>
      <c r="Q51" s="793"/>
      <c r="R51" s="794"/>
      <c r="S51" s="593"/>
      <c r="T51" s="613"/>
      <c r="U51" s="605" t="e">
        <f>IF(#REF!&gt;U$34,IF(#REF!&lt;=U$35,#REF!,NA()),NA())</f>
        <v>#REF!</v>
      </c>
      <c r="V51" s="605" t="e">
        <f>IF(#REF!&gt;V$34,IF(#REF!&lt;=V$35,#REF!,NA()),NA())</f>
        <v>#REF!</v>
      </c>
      <c r="W51" s="605" t="e">
        <f>IF(#REF!&gt;W$34,IF(#REF!&lt;=W$35,#REF!,NA()),NA())</f>
        <v>#REF!</v>
      </c>
      <c r="X51" s="605" t="e">
        <f>IF(#REF!&gt;X$34,IF(#REF!&lt;=X$35,#REF!,NA()),NA())</f>
        <v>#REF!</v>
      </c>
      <c r="Y51" s="605" t="e">
        <f>IF(#REF!&gt;Y$34,IF(#REF!&lt;=Y$35,1,NA()),NA())</f>
        <v>#REF!</v>
      </c>
      <c r="Z51" s="606"/>
      <c r="AA51" s="606"/>
      <c r="AB51" s="606"/>
      <c r="AC51" s="606"/>
      <c r="AD51" s="606"/>
      <c r="AE51" s="606"/>
      <c r="AF51" s="606"/>
      <c r="AG51" s="5"/>
      <c r="AH51" s="17"/>
      <c r="AI51" s="17"/>
      <c r="AJ51" s="17"/>
    </row>
    <row r="52" spans="1:36" ht="68.25" customHeight="1">
      <c r="A52" s="608">
        <v>18</v>
      </c>
      <c r="B52" s="308" t="str">
        <f>VLOOKUP(A52,Table1[],2,0)</f>
        <v>Indicator de proces</v>
      </c>
      <c r="C52" s="788" t="str">
        <f>VLOOKUP(A52,Table1[],4,0)</f>
        <v xml:space="preserve">KP-1d(M): Procentul consumatorilor de droguri injectabile acoperiți de programele de prevenire HIV - pachet definit de servicii </v>
      </c>
      <c r="D52" s="788"/>
      <c r="E52" s="788"/>
      <c r="F52" s="417">
        <f t="shared" si="0"/>
        <v>0.53100000000000003</v>
      </c>
      <c r="G52" s="417">
        <f t="shared" si="1"/>
        <v>0.56399999999999995</v>
      </c>
      <c r="H52" s="789">
        <f t="shared" ref="H52:H58" si="6">+IF(ISERROR(F52/G52),0,G52/F52)</f>
        <v>1.062146892655367</v>
      </c>
      <c r="I52" s="790"/>
      <c r="J52" s="790"/>
      <c r="K52" s="790"/>
      <c r="L52" s="791"/>
      <c r="M52" s="802" t="s">
        <v>519</v>
      </c>
      <c r="N52" s="803"/>
      <c r="O52" s="803"/>
      <c r="P52" s="803"/>
      <c r="Q52" s="803"/>
      <c r="R52" s="803"/>
      <c r="S52" s="593"/>
      <c r="T52" s="613"/>
      <c r="U52" s="605" t="e">
        <f t="shared" si="2"/>
        <v>#N/A</v>
      </c>
      <c r="V52" s="605" t="e">
        <f t="shared" si="2"/>
        <v>#N/A</v>
      </c>
      <c r="W52" s="605" t="e">
        <f t="shared" si="2"/>
        <v>#N/A</v>
      </c>
      <c r="X52" s="605" t="e">
        <f t="shared" si="2"/>
        <v>#N/A</v>
      </c>
      <c r="Y52" s="605" t="e">
        <f t="shared" ref="Y52:Y53" si="7">IF($L50&gt;Y$34,IF($L50&lt;=Y$35,1,NA()),NA())</f>
        <v>#N/A</v>
      </c>
      <c r="Z52" s="606"/>
      <c r="AA52" s="606"/>
      <c r="AB52" s="606"/>
      <c r="AC52" s="606"/>
      <c r="AD52" s="606"/>
      <c r="AE52" s="606"/>
      <c r="AF52" s="606"/>
      <c r="AG52" s="5"/>
      <c r="AH52" s="17"/>
      <c r="AI52" s="17"/>
      <c r="AJ52" s="17"/>
    </row>
    <row r="53" spans="1:36" ht="68.25" customHeight="1">
      <c r="A53" s="608">
        <v>19</v>
      </c>
      <c r="B53" s="308" t="str">
        <f>VLOOKUP(A53,Table1[],2,0)</f>
        <v>Indicator de proces</v>
      </c>
      <c r="C53" s="788" t="str">
        <f>VLOOKUP(A53,Table1[],4,0)</f>
        <v>KP-3d(M): Procentul consumatorilor de droguri injectabile care au fost testați pentru HIV în perioada de raportare și își cunosc rezultatele</v>
      </c>
      <c r="D53" s="788"/>
      <c r="E53" s="788"/>
      <c r="F53" s="417">
        <f t="shared" si="0"/>
        <v>0.254</v>
      </c>
      <c r="G53" s="417">
        <f t="shared" si="1"/>
        <v>0.27600000000000002</v>
      </c>
      <c r="H53" s="789">
        <f t="shared" si="6"/>
        <v>1.0866141732283465</v>
      </c>
      <c r="I53" s="790"/>
      <c r="J53" s="790"/>
      <c r="K53" s="790"/>
      <c r="L53" s="791"/>
      <c r="M53" s="802" t="s">
        <v>522</v>
      </c>
      <c r="N53" s="803"/>
      <c r="O53" s="803"/>
      <c r="P53" s="803"/>
      <c r="Q53" s="803"/>
      <c r="R53" s="803"/>
      <c r="S53" s="593"/>
      <c r="T53" s="613"/>
      <c r="U53" s="605" t="e">
        <f t="shared" si="2"/>
        <v>#N/A</v>
      </c>
      <c r="V53" s="605" t="e">
        <f t="shared" si="2"/>
        <v>#N/A</v>
      </c>
      <c r="W53" s="605" t="e">
        <f t="shared" si="2"/>
        <v>#N/A</v>
      </c>
      <c r="X53" s="605" t="e">
        <f t="shared" si="2"/>
        <v>#N/A</v>
      </c>
      <c r="Y53" s="605" t="e">
        <f t="shared" si="7"/>
        <v>#N/A</v>
      </c>
      <c r="Z53" s="606"/>
      <c r="AA53" s="606"/>
      <c r="AB53" s="606"/>
      <c r="AC53" s="606"/>
      <c r="AD53" s="606"/>
      <c r="AE53" s="606"/>
      <c r="AF53" s="606"/>
      <c r="AG53" s="5"/>
      <c r="AH53" s="17"/>
      <c r="AI53" s="17"/>
      <c r="AJ53" s="17"/>
    </row>
    <row r="54" spans="1:36" ht="68.25" customHeight="1">
      <c r="A54" s="608">
        <v>20</v>
      </c>
      <c r="B54" s="308" t="str">
        <f>VLOOKUP(A54,Table1[],2,0)</f>
        <v>Indicator de proces</v>
      </c>
      <c r="C54" s="788" t="str">
        <f>VLOOKUP(A54,Table1[],4,0)</f>
        <v xml:space="preserve">KP-1c(M): Procentul LSC acoperiți de programele de prevenire HIV - pachet definit de servicii </v>
      </c>
      <c r="D54" s="788"/>
      <c r="E54" s="788"/>
      <c r="F54" s="417">
        <f t="shared" si="0"/>
        <v>0.48</v>
      </c>
      <c r="G54" s="417">
        <f t="shared" si="1"/>
        <v>0.39300000000000002</v>
      </c>
      <c r="H54" s="789">
        <f t="shared" si="6"/>
        <v>0.81875000000000009</v>
      </c>
      <c r="I54" s="790"/>
      <c r="J54" s="790"/>
      <c r="K54" s="790"/>
      <c r="L54" s="791"/>
      <c r="M54" s="802" t="s">
        <v>521</v>
      </c>
      <c r="N54" s="803"/>
      <c r="O54" s="803"/>
      <c r="P54" s="803"/>
      <c r="Q54" s="803"/>
      <c r="R54" s="803"/>
      <c r="S54" s="593"/>
      <c r="T54" s="5"/>
      <c r="U54" s="606"/>
      <c r="V54" s="606"/>
      <c r="W54" s="606"/>
      <c r="X54" s="606"/>
      <c r="Y54" s="606"/>
      <c r="Z54" s="606"/>
      <c r="AA54" s="606"/>
      <c r="AB54" s="606"/>
      <c r="AC54" s="606"/>
      <c r="AD54" s="606"/>
      <c r="AE54" s="606"/>
      <c r="AF54" s="606"/>
      <c r="AG54" s="5"/>
      <c r="AH54" s="17"/>
      <c r="AI54" s="17"/>
      <c r="AJ54" s="17"/>
    </row>
    <row r="55" spans="1:36" ht="68.25" customHeight="1">
      <c r="A55" s="608">
        <v>21</v>
      </c>
      <c r="B55" s="308" t="str">
        <f>VLOOKUP(A55,Table1[],2,0)</f>
        <v>Indicator de proces</v>
      </c>
      <c r="C55" s="788" t="str">
        <f>VLOOKUP(A55,Table1[],4,0)</f>
        <v>KP-3c(M): Procentul LSC care au fost testați pentru HIV în perioada de raportare și își cunosc rezultatele</v>
      </c>
      <c r="D55" s="788"/>
      <c r="E55" s="788"/>
      <c r="F55" s="417">
        <f t="shared" si="0"/>
        <v>0.23100000000000001</v>
      </c>
      <c r="G55" s="417">
        <f t="shared" si="1"/>
        <v>0.255</v>
      </c>
      <c r="H55" s="789">
        <f t="shared" si="6"/>
        <v>1.1038961038961039</v>
      </c>
      <c r="I55" s="790"/>
      <c r="J55" s="790"/>
      <c r="K55" s="790"/>
      <c r="L55" s="791"/>
      <c r="M55" s="802" t="s">
        <v>520</v>
      </c>
      <c r="N55" s="803"/>
      <c r="O55" s="803"/>
      <c r="P55" s="803"/>
      <c r="Q55" s="803"/>
      <c r="R55" s="803"/>
      <c r="S55" s="593"/>
      <c r="T55" s="5"/>
      <c r="U55" s="606"/>
      <c r="V55" s="606"/>
      <c r="W55" s="606"/>
      <c r="X55" s="606"/>
      <c r="Y55" s="606"/>
      <c r="Z55" s="606"/>
      <c r="AA55" s="606"/>
      <c r="AB55" s="606"/>
      <c r="AC55" s="606"/>
      <c r="AD55" s="606"/>
      <c r="AE55" s="606"/>
      <c r="AF55" s="606"/>
      <c r="AG55" s="5"/>
      <c r="AH55" s="17"/>
      <c r="AI55" s="17"/>
      <c r="AJ55" s="17"/>
    </row>
    <row r="56" spans="1:36" ht="68.25" customHeight="1">
      <c r="A56" s="608">
        <v>22</v>
      </c>
      <c r="B56" s="308" t="str">
        <f>VLOOKUP(A56,Table1[],2,0)</f>
        <v>Indicator de proces</v>
      </c>
      <c r="C56" s="788" t="str">
        <f>VLOOKUP(A56,Table1[],4,0)</f>
        <v xml:space="preserve">KP-1a(M): Procentul BSB acoperiți de programele de prevenire HIV - pachet definit de servicii </v>
      </c>
      <c r="D56" s="788"/>
      <c r="E56" s="788"/>
      <c r="F56" s="417">
        <f t="shared" si="0"/>
        <v>0.32</v>
      </c>
      <c r="G56" s="417">
        <f t="shared" si="1"/>
        <v>0.27100000000000002</v>
      </c>
      <c r="H56" s="789">
        <f t="shared" si="6"/>
        <v>0.84687500000000004</v>
      </c>
      <c r="I56" s="790"/>
      <c r="J56" s="790"/>
      <c r="K56" s="790"/>
      <c r="L56" s="791"/>
      <c r="M56" s="802" t="s">
        <v>523</v>
      </c>
      <c r="N56" s="803"/>
      <c r="O56" s="803"/>
      <c r="P56" s="803"/>
      <c r="Q56" s="803"/>
      <c r="R56" s="803"/>
      <c r="S56" s="593"/>
      <c r="T56" s="5"/>
      <c r="U56" s="606"/>
      <c r="V56" s="606"/>
      <c r="W56" s="606"/>
      <c r="X56" s="606"/>
      <c r="Y56" s="606"/>
      <c r="Z56" s="606"/>
      <c r="AA56" s="606"/>
      <c r="AB56" s="606"/>
      <c r="AC56" s="606"/>
      <c r="AD56" s="606"/>
      <c r="AE56" s="606"/>
      <c r="AF56" s="606"/>
      <c r="AG56" s="5"/>
      <c r="AH56" s="17"/>
      <c r="AI56" s="17"/>
      <c r="AJ56" s="17"/>
    </row>
    <row r="57" spans="1:36" ht="68.25" customHeight="1">
      <c r="A57" s="608">
        <v>23</v>
      </c>
      <c r="B57" s="308" t="str">
        <f>VLOOKUP(A57,Table1[],2,0)</f>
        <v>Indicator de proces</v>
      </c>
      <c r="C57" s="788" t="str">
        <f>VLOOKUP(A57,Table1[],4,0)</f>
        <v>KP-3a(M): Procentul BSB care au fost testați pentru HIV în perioada de raportare și își cunosc rezultatele</v>
      </c>
      <c r="D57" s="788"/>
      <c r="E57" s="788"/>
      <c r="F57" s="417">
        <f t="shared" si="0"/>
        <v>0.17100000000000001</v>
      </c>
      <c r="G57" s="417">
        <f t="shared" si="1"/>
        <v>0.16700000000000001</v>
      </c>
      <c r="H57" s="789">
        <f t="shared" si="6"/>
        <v>0.97660818713450293</v>
      </c>
      <c r="I57" s="790"/>
      <c r="J57" s="790"/>
      <c r="K57" s="790"/>
      <c r="L57" s="791"/>
      <c r="M57" s="802" t="s">
        <v>525</v>
      </c>
      <c r="N57" s="803"/>
      <c r="O57" s="803"/>
      <c r="P57" s="803"/>
      <c r="Q57" s="803"/>
      <c r="R57" s="803"/>
      <c r="S57" s="593"/>
      <c r="T57" s="5"/>
      <c r="U57" s="606"/>
      <c r="V57" s="606"/>
      <c r="W57" s="606"/>
      <c r="X57" s="606"/>
      <c r="Y57" s="606"/>
      <c r="Z57" s="606"/>
      <c r="AA57" s="606"/>
      <c r="AB57" s="606"/>
      <c r="AC57" s="606"/>
      <c r="AD57" s="606"/>
      <c r="AE57" s="606"/>
      <c r="AF57" s="606"/>
      <c r="AG57" s="5"/>
      <c r="AH57" s="17"/>
      <c r="AI57" s="17"/>
      <c r="AJ57" s="17"/>
    </row>
    <row r="58" spans="1:36" ht="145.5" customHeight="1">
      <c r="A58" s="608">
        <v>24</v>
      </c>
      <c r="B58" s="308" t="str">
        <f>VLOOKUP(A58,Table1[],2,0)</f>
        <v>Indicator de proces</v>
      </c>
      <c r="C58" s="788" t="str">
        <f>VLOOKUP(A58,Table1[],4,0)</f>
        <v xml:space="preserve">TCS-1 (M): Procentul adulţilor şi copiilor care trăiesc cu HIV și urmează tratament antiretroviral </v>
      </c>
      <c r="D58" s="788"/>
      <c r="E58" s="788"/>
      <c r="F58" s="417">
        <f t="shared" si="0"/>
        <v>0.34499999999999997</v>
      </c>
      <c r="G58" s="417">
        <f t="shared" si="1"/>
        <v>0.37</v>
      </c>
      <c r="H58" s="789">
        <f t="shared" si="6"/>
        <v>1.0724637681159421</v>
      </c>
      <c r="I58" s="790"/>
      <c r="J58" s="790"/>
      <c r="K58" s="790"/>
      <c r="L58" s="791"/>
      <c r="M58" s="802" t="s">
        <v>524</v>
      </c>
      <c r="N58" s="803"/>
      <c r="O58" s="803"/>
      <c r="P58" s="803"/>
      <c r="Q58" s="803"/>
      <c r="R58" s="803"/>
      <c r="S58" s="615"/>
      <c r="T58" s="5"/>
      <c r="U58" s="606"/>
      <c r="V58" s="606"/>
      <c r="W58" s="606"/>
      <c r="X58" s="606"/>
      <c r="Y58" s="606"/>
      <c r="Z58" s="606"/>
      <c r="AA58" s="606"/>
      <c r="AB58" s="606"/>
      <c r="AC58" s="606"/>
      <c r="AD58" s="606"/>
      <c r="AE58" s="606"/>
      <c r="AF58" s="606"/>
      <c r="AG58" s="5"/>
      <c r="AH58" s="17"/>
      <c r="AI58" s="17"/>
      <c r="AJ58" s="17"/>
    </row>
    <row r="59" spans="1:36">
      <c r="A59" s="608"/>
      <c r="T59" s="5"/>
      <c r="U59" s="606"/>
      <c r="V59" s="606"/>
      <c r="W59" s="606"/>
      <c r="X59" s="606"/>
      <c r="Y59" s="606"/>
      <c r="Z59" s="606"/>
      <c r="AA59" s="606"/>
      <c r="AB59" s="606"/>
      <c r="AC59" s="606"/>
      <c r="AD59" s="606"/>
      <c r="AE59" s="606"/>
      <c r="AF59" s="606"/>
      <c r="AG59" s="5"/>
      <c r="AH59" s="17"/>
      <c r="AI59" s="17"/>
      <c r="AJ59" s="17"/>
    </row>
    <row r="60" spans="1:36">
      <c r="T60" s="5"/>
      <c r="U60" s="606"/>
      <c r="V60" s="606"/>
      <c r="W60" s="606"/>
      <c r="X60" s="606"/>
      <c r="Y60" s="606"/>
      <c r="Z60" s="606"/>
      <c r="AA60" s="606"/>
      <c r="AB60" s="606"/>
      <c r="AC60" s="606"/>
      <c r="AD60" s="606"/>
      <c r="AE60" s="606"/>
      <c r="AF60" s="606"/>
      <c r="AG60" s="5"/>
      <c r="AH60" s="17"/>
      <c r="AI60" s="17"/>
      <c r="AJ60" s="17"/>
    </row>
    <row r="61" spans="1:36">
      <c r="T61" s="5"/>
      <c r="U61" s="606"/>
      <c r="V61" s="606"/>
      <c r="W61" s="606"/>
      <c r="X61" s="606"/>
      <c r="Y61" s="606"/>
      <c r="Z61" s="606"/>
      <c r="AA61" s="606"/>
      <c r="AB61" s="606"/>
      <c r="AC61" s="606"/>
      <c r="AD61" s="607"/>
      <c r="AE61" s="607"/>
      <c r="AF61" s="607"/>
    </row>
    <row r="62" spans="1:36">
      <c r="T62" s="5"/>
      <c r="U62" s="606"/>
      <c r="V62" s="606"/>
      <c r="W62" s="606"/>
      <c r="X62" s="606"/>
      <c r="Y62" s="606"/>
      <c r="Z62" s="606"/>
      <c r="AA62" s="606"/>
      <c r="AB62" s="606"/>
      <c r="AC62" s="606"/>
      <c r="AD62" s="607"/>
      <c r="AE62" s="607"/>
      <c r="AF62" s="607"/>
    </row>
    <row r="63" spans="1:36">
      <c r="T63" s="5"/>
      <c r="U63" s="606"/>
      <c r="V63" s="606"/>
      <c r="W63" s="606"/>
      <c r="X63" s="606"/>
      <c r="Y63" s="606"/>
      <c r="Z63" s="606"/>
      <c r="AA63" s="606"/>
      <c r="AB63" s="606"/>
      <c r="AC63" s="606"/>
      <c r="AD63" s="607"/>
      <c r="AE63" s="607"/>
      <c r="AF63" s="607"/>
    </row>
    <row r="64" spans="1:36">
      <c r="T64" s="5"/>
      <c r="U64" s="606"/>
      <c r="V64" s="606"/>
      <c r="W64" s="606"/>
      <c r="X64" s="606"/>
      <c r="Y64" s="606"/>
      <c r="Z64" s="606"/>
      <c r="AA64" s="606"/>
      <c r="AB64" s="606"/>
      <c r="AC64" s="606"/>
      <c r="AD64" s="607"/>
      <c r="AE64" s="607"/>
      <c r="AF64" s="607"/>
    </row>
    <row r="65" spans="20:32">
      <c r="T65" s="5"/>
      <c r="U65" s="606"/>
      <c r="V65" s="606"/>
      <c r="W65" s="606"/>
      <c r="X65" s="606"/>
      <c r="Y65" s="606"/>
      <c r="Z65" s="606"/>
      <c r="AA65" s="606"/>
      <c r="AB65" s="606"/>
      <c r="AC65" s="606"/>
      <c r="AD65" s="607"/>
      <c r="AE65" s="607"/>
      <c r="AF65" s="607"/>
    </row>
  </sheetData>
  <mergeCells count="97">
    <mergeCell ref="C58:E58"/>
    <mergeCell ref="H58:L58"/>
    <mergeCell ref="M58:R58"/>
    <mergeCell ref="C56:E56"/>
    <mergeCell ref="H56:L56"/>
    <mergeCell ref="M56:R56"/>
    <mergeCell ref="C57:E57"/>
    <mergeCell ref="H57:L57"/>
    <mergeCell ref="M57:R57"/>
    <mergeCell ref="C54:E54"/>
    <mergeCell ref="H54:L54"/>
    <mergeCell ref="M54:R54"/>
    <mergeCell ref="C55:E55"/>
    <mergeCell ref="H55:L55"/>
    <mergeCell ref="M55:R55"/>
    <mergeCell ref="C52:E52"/>
    <mergeCell ref="H52:L52"/>
    <mergeCell ref="M52:R52"/>
    <mergeCell ref="C53:E53"/>
    <mergeCell ref="H53:L53"/>
    <mergeCell ref="M53:R53"/>
    <mergeCell ref="H50:L50"/>
    <mergeCell ref="M50:R50"/>
    <mergeCell ref="C51:E51"/>
    <mergeCell ref="H51:L51"/>
    <mergeCell ref="M51:R51"/>
    <mergeCell ref="C50:E50"/>
    <mergeCell ref="M34:R34"/>
    <mergeCell ref="M49:R49"/>
    <mergeCell ref="H37:L37"/>
    <mergeCell ref="H34:I34"/>
    <mergeCell ref="J34:K34"/>
    <mergeCell ref="M48:R48"/>
    <mergeCell ref="M35:R35"/>
    <mergeCell ref="M36:R36"/>
    <mergeCell ref="M37:R37"/>
    <mergeCell ref="M46:R46"/>
    <mergeCell ref="M47:R47"/>
    <mergeCell ref="C46:E46"/>
    <mergeCell ref="C47:E47"/>
    <mergeCell ref="H46:L46"/>
    <mergeCell ref="H47:L47"/>
    <mergeCell ref="H49:L49"/>
    <mergeCell ref="H48:L48"/>
    <mergeCell ref="C48:E48"/>
    <mergeCell ref="C49:E4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38:E38"/>
    <mergeCell ref="H38:L38"/>
    <mergeCell ref="M38:R38"/>
    <mergeCell ref="C39:E39"/>
    <mergeCell ref="H39:L39"/>
    <mergeCell ref="M39:R39"/>
    <mergeCell ref="C40:E40"/>
    <mergeCell ref="H40:L40"/>
    <mergeCell ref="M40:R40"/>
    <mergeCell ref="C41:E41"/>
    <mergeCell ref="H41:L41"/>
    <mergeCell ref="M41:R41"/>
    <mergeCell ref="C42:E42"/>
    <mergeCell ref="H42:L42"/>
    <mergeCell ref="M42:R42"/>
    <mergeCell ref="C43:E43"/>
    <mergeCell ref="H43:L43"/>
    <mergeCell ref="M43:R43"/>
    <mergeCell ref="C44:E44"/>
    <mergeCell ref="H44:L44"/>
    <mergeCell ref="M44:R44"/>
    <mergeCell ref="C45:E45"/>
    <mergeCell ref="H45:L45"/>
    <mergeCell ref="M45:R45"/>
    <mergeCell ref="D19:F19"/>
    <mergeCell ref="H19:L19"/>
    <mergeCell ref="N19:R19"/>
    <mergeCell ref="N20:R20"/>
    <mergeCell ref="C2:AD2"/>
    <mergeCell ref="D20:F20"/>
    <mergeCell ref="H20:L20"/>
    <mergeCell ref="E5:O5"/>
    <mergeCell ref="G6:L6"/>
    <mergeCell ref="F3:L3"/>
    <mergeCell ref="D4:E4"/>
  </mergeCells>
  <phoneticPr fontId="23" type="noConversion"/>
  <conditionalFormatting sqref="D4:E4">
    <cfRule type="cellIs" dxfId="28" priority="68" stopIfTrue="1" operator="equal">
      <formula>"C"</formula>
    </cfRule>
    <cfRule type="cellIs" dxfId="27" priority="69" stopIfTrue="1" operator="equal">
      <formula>"B2"</formula>
    </cfRule>
    <cfRule type="cellIs" dxfId="26" priority="70" stopIfTrue="1" operator="equal">
      <formula>"B1"</formula>
    </cfRule>
  </conditionalFormatting>
  <conditionalFormatting sqref="H35:H36 H38:H41 H43:H58">
    <cfRule type="cellIs" dxfId="25" priority="74" stopIfTrue="1" operator="between">
      <formula>0.000001</formula>
      <formula>0.599</formula>
    </cfRule>
    <cfRule type="cellIs" dxfId="24" priority="75" stopIfTrue="1" operator="between">
      <formula>0.6</formula>
      <formula>0.899</formula>
    </cfRule>
    <cfRule type="cellIs" dxfId="23" priority="76" stopIfTrue="1" operator="greaterThanOrEqual">
      <formula>0.9</formula>
    </cfRule>
  </conditionalFormatting>
  <conditionalFormatting sqref="H42">
    <cfRule type="cellIs" dxfId="22" priority="4" stopIfTrue="1" operator="between">
      <formula>0.000001</formula>
      <formula>0.599</formula>
    </cfRule>
    <cfRule type="cellIs" dxfId="21" priority="5" stopIfTrue="1" operator="between">
      <formula>0.6</formula>
      <formula>0.899</formula>
    </cfRule>
    <cfRule type="cellIs" dxfId="20" priority="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zoomScale="75" zoomScaleNormal="90" zoomScaleSheetLayoutView="75" workbookViewId="0">
      <selection activeCell="D12" sqref="D12:G12"/>
    </sheetView>
  </sheetViews>
  <sheetFormatPr defaultRowHeight="11.25"/>
  <cols>
    <col min="1" max="1" width="1.140625" style="24" customWidth="1"/>
    <col min="2" max="2" width="19.28515625" style="24" customWidth="1"/>
    <col min="3" max="3" width="1.140625" style="24" customWidth="1"/>
    <col min="4" max="4" width="17.140625" style="24" customWidth="1"/>
    <col min="5" max="5" width="17.5703125" style="24" customWidth="1"/>
    <col min="6" max="6" width="9.7109375" style="24" customWidth="1"/>
    <col min="7" max="7" width="38.140625" style="24" customWidth="1"/>
    <col min="8" max="8" width="4.28515625" style="24" customWidth="1"/>
    <col min="9" max="9" width="15.85546875" style="24" customWidth="1"/>
    <col min="10" max="10" width="3.5703125" style="24" customWidth="1"/>
    <col min="11" max="11" width="7.5703125" style="25" customWidth="1"/>
    <col min="12" max="12" width="14.28515625" style="24" customWidth="1"/>
    <col min="13" max="13" width="12" style="24" customWidth="1"/>
    <col min="14" max="14" width="5.42578125" style="24" customWidth="1"/>
    <col min="15" max="15" width="2.5703125" style="24" customWidth="1"/>
    <col min="16" max="16384" width="9.140625" style="24"/>
  </cols>
  <sheetData>
    <row r="1" spans="1:15" ht="38.25" customHeight="1">
      <c r="A1" s="106"/>
      <c r="B1" s="106"/>
      <c r="C1" s="106"/>
      <c r="D1" s="106"/>
      <c r="E1" s="106"/>
      <c r="F1" s="106"/>
      <c r="G1" s="106"/>
      <c r="H1" s="106"/>
      <c r="I1" s="106"/>
      <c r="J1" s="106"/>
      <c r="K1" s="107"/>
      <c r="L1" s="106"/>
      <c r="M1" s="106"/>
      <c r="N1" s="106"/>
    </row>
    <row r="2" spans="1:15" customFormat="1" ht="27.75" customHeight="1">
      <c r="A2" s="3"/>
      <c r="B2" s="750" t="str">
        <f>+"Tabel Programatic de evaluare:  "&amp;"  "&amp;IF(+'Introducerea datelor'!C4="Please Select","",'Introducerea datelor'!C4&amp;" - ")&amp;IF('Introducerea datelor'!G6="Please Select","",'Introducerea datelor'!G6)</f>
        <v>Tabel Programatic de evaluare:    Moldova - HIVAIDS / TB</v>
      </c>
      <c r="C2" s="750"/>
      <c r="D2" s="750"/>
      <c r="E2" s="750"/>
      <c r="F2" s="750"/>
      <c r="G2" s="750"/>
      <c r="H2" s="750"/>
      <c r="I2" s="750"/>
      <c r="J2" s="750"/>
      <c r="K2" s="750"/>
      <c r="L2" s="750"/>
      <c r="M2" s="750"/>
      <c r="N2" s="750"/>
      <c r="O2" s="47"/>
    </row>
    <row r="3" spans="1:15" customFormat="1" ht="18.75">
      <c r="A3" s="3"/>
      <c r="B3" s="96" t="str">
        <f>+IF('Introducerea datelor'!G8="Please Select","",'Introducerea datelor'!G8)</f>
        <v/>
      </c>
      <c r="C3" s="755" t="str">
        <f>+IF('Introducerea datelor'!I8="Please Select","",'Introducerea datelor'!I8)</f>
        <v/>
      </c>
      <c r="D3" s="755"/>
      <c r="E3" s="233"/>
      <c r="F3" s="233"/>
      <c r="G3" s="233"/>
      <c r="H3" s="233"/>
      <c r="I3" s="233"/>
      <c r="J3" s="233"/>
      <c r="K3" s="233"/>
      <c r="L3" s="96" t="str">
        <f>+'Introducerea datelor'!B16</f>
        <v>Perioada de Raportare:</v>
      </c>
      <c r="M3" s="121" t="str">
        <f>+'Introducerea datelor'!C16</f>
        <v>P2</v>
      </c>
      <c r="N3" s="121"/>
      <c r="O3" s="24"/>
    </row>
    <row r="4" spans="1:15" customFormat="1" ht="15">
      <c r="A4" s="3"/>
      <c r="B4" s="96" t="str">
        <f>+'Introducerea datelor'!B12</f>
        <v>Ultimul Rating:</v>
      </c>
      <c r="C4" s="787" t="str">
        <f>+IF('Introducerea datelor'!C12="Please Select","",'Introducerea datelor'!C12)</f>
        <v/>
      </c>
      <c r="D4" s="787"/>
      <c r="E4" s="753" t="str">
        <f>+'Introducerea datelor'!C8</f>
        <v>IP UCIMP DS</v>
      </c>
      <c r="F4" s="753"/>
      <c r="G4" s="753"/>
      <c r="H4" s="753"/>
      <c r="I4" s="753"/>
      <c r="J4" s="753"/>
      <c r="K4" s="753"/>
      <c r="L4" s="96" t="str">
        <f>+'Introducerea datelor'!D16</f>
        <v>De la:</v>
      </c>
      <c r="M4" s="122">
        <f>+IF(ISBLANK('Introducerea datelor'!E16),"",'Introducerea datelor'!E16)</f>
        <v>43282</v>
      </c>
      <c r="N4" s="122"/>
      <c r="O4" s="24"/>
    </row>
    <row r="5" spans="1:15" customFormat="1" ht="18.75" customHeight="1">
      <c r="A5" s="3"/>
      <c r="B5" s="96"/>
      <c r="C5" s="96"/>
      <c r="D5" s="97"/>
      <c r="E5" s="753" t="str">
        <f>+'Introducerea datelor'!G4</f>
        <v>Consolidarea controlului tuberculozei și reducerea SIDA și a mortalității aferente în Republica Moldova</v>
      </c>
      <c r="F5" s="753"/>
      <c r="G5" s="753"/>
      <c r="H5" s="753"/>
      <c r="I5" s="753"/>
      <c r="J5" s="753"/>
      <c r="K5" s="753"/>
      <c r="L5" s="96" t="str">
        <f>+'Introducerea datelor'!F16</f>
        <v>Pînă la:</v>
      </c>
      <c r="M5" s="122">
        <f>+IF(ISBLANK('Introducerea datelor'!G16),"",'Introducerea datelor'!G16)</f>
        <v>43465</v>
      </c>
      <c r="N5" s="122"/>
    </row>
    <row r="6" spans="1:15" customFormat="1" ht="22.5" customHeight="1">
      <c r="A6" s="3"/>
      <c r="B6" s="100"/>
      <c r="C6" s="101"/>
      <c r="D6" s="102"/>
      <c r="E6" s="847" t="s">
        <v>387</v>
      </c>
      <c r="F6" s="847"/>
      <c r="G6" s="847"/>
      <c r="H6" s="847"/>
      <c r="I6" s="847"/>
      <c r="J6" s="847"/>
      <c r="K6" s="847"/>
      <c r="L6" s="2"/>
      <c r="M6" s="2"/>
      <c r="N6" s="2"/>
    </row>
    <row r="7" spans="1:15" s="26" customFormat="1" ht="4.5" customHeight="1">
      <c r="A7" s="108"/>
      <c r="B7" s="109"/>
      <c r="C7" s="109"/>
      <c r="D7" s="109"/>
      <c r="E7" s="109"/>
      <c r="F7" s="109"/>
      <c r="G7" s="109"/>
      <c r="H7" s="109"/>
      <c r="I7" s="109"/>
      <c r="J7" s="109"/>
      <c r="K7" s="109"/>
      <c r="L7" s="110"/>
      <c r="M7" s="110"/>
      <c r="N7" s="111"/>
    </row>
    <row r="8" spans="1:15" s="26" customFormat="1" ht="21" customHeight="1" thickBot="1">
      <c r="A8" s="108"/>
      <c r="B8" s="846" t="s">
        <v>393</v>
      </c>
      <c r="C8" s="846"/>
      <c r="D8" s="846"/>
      <c r="E8" s="846"/>
      <c r="F8" s="846"/>
      <c r="G8" s="846"/>
      <c r="H8" s="846"/>
      <c r="I8" s="846"/>
      <c r="J8" s="846"/>
      <c r="K8" s="846"/>
      <c r="L8" s="846"/>
      <c r="M8" s="846"/>
      <c r="N8" s="846"/>
    </row>
    <row r="9" spans="1:15" s="26" customFormat="1" ht="3.75" customHeight="1" thickBot="1">
      <c r="A9" s="108"/>
      <c r="B9" s="109"/>
      <c r="C9" s="109"/>
      <c r="D9" s="109"/>
      <c r="E9" s="109"/>
      <c r="F9" s="109"/>
      <c r="G9" s="109"/>
      <c r="H9" s="109"/>
      <c r="I9" s="109"/>
      <c r="J9" s="109"/>
      <c r="K9" s="109"/>
      <c r="L9" s="110"/>
      <c r="M9" s="110"/>
      <c r="N9" s="111"/>
    </row>
    <row r="10" spans="1:15" s="27" customFormat="1" ht="25.5" customHeight="1" thickBot="1">
      <c r="A10" s="112"/>
      <c r="B10" s="855" t="s">
        <v>388</v>
      </c>
      <c r="C10" s="856"/>
      <c r="D10" s="851" t="s">
        <v>389</v>
      </c>
      <c r="E10" s="852"/>
      <c r="F10" s="852"/>
      <c r="G10" s="853"/>
      <c r="H10" s="113"/>
      <c r="I10" s="851" t="s">
        <v>387</v>
      </c>
      <c r="J10" s="852"/>
      <c r="K10" s="852"/>
      <c r="L10" s="852"/>
      <c r="M10" s="852"/>
      <c r="N10" s="853"/>
    </row>
    <row r="11" spans="1:15" s="27" customFormat="1" ht="37.5" customHeight="1">
      <c r="A11" s="112"/>
      <c r="B11" s="245" t="s">
        <v>56</v>
      </c>
      <c r="C11" s="246"/>
      <c r="D11" s="864" t="str">
        <f>IF(ISBLANK(Financiar!C9),"",(Financiar!C9))</f>
        <v/>
      </c>
      <c r="E11" s="864"/>
      <c r="F11" s="864"/>
      <c r="G11" s="865"/>
      <c r="H11" s="281"/>
      <c r="I11" s="857"/>
      <c r="J11" s="858"/>
      <c r="K11" s="858"/>
      <c r="L11" s="858"/>
      <c r="M11" s="858"/>
      <c r="N11" s="859"/>
    </row>
    <row r="12" spans="1:15" s="27" customFormat="1" ht="252.75" customHeight="1">
      <c r="A12" s="112"/>
      <c r="B12" s="249" t="s">
        <v>57</v>
      </c>
      <c r="C12" s="250"/>
      <c r="D12" s="826" t="str">
        <f>IF(ISBLANK(Financiar!C23),"",(Financiar!C23))</f>
        <v xml:space="preserve">TB: Obiectivul 1 „Asigurarea accesului universal la diagnosticul la timp şi de calitate al tuturor formelor de tuberculoză, inclusiv celor cu TB-M/EDR” - variația se datorează, în mare parte, economiilor acumulate în rezultatul procurării unor cantități mai mici de medii nutritive, conform solicitării Beneficiarului.
Obiectivul 2 „Asigurarea accesului universal la tratamentul calitativ pentru toate formele de TB, inclusiv cu TB-M/EDR” - variația se datorează sumei de 195 mii USD plătite în avans, în cadrul Grantul anterior, pentru medicamentele antituberculoase de linia II, și care urmează a fi dedusă din cadrul Grantului actual, la solictarea FG.                                       HIV/SIDA: Obiectivul 1 „Sporirea accesului la servicii de prevenire a infecției HIV, pe bază de dovezi” - variația se datorează câtorva factori - costuri mai mari suportate din cauza cursului valutar dezavantajos, servicii pentru un număr mai mare de beneficiari comparativ cu numărul planificat pentru anul respectiv, susținerea unor activități care nu au fost inițial planificate.
Obiectivul 2 „Asigurarea accesului universal la servicii de tratament, îngrijire și suport comprehensiv al infecției HIV” - variația se datorează costurilor mai mari la medicamente si a unor cantități de medicamente achiziționate (in special pentru regiunea transnistreana), comparativ cu planificarea inițială, si implicit cursul valutar dezavantajos menținut pe perioada de raportare. 
</v>
      </c>
      <c r="E12" s="826"/>
      <c r="F12" s="826"/>
      <c r="G12" s="860"/>
      <c r="H12" s="281"/>
      <c r="I12" s="857"/>
      <c r="J12" s="858"/>
      <c r="K12" s="858"/>
      <c r="L12" s="858"/>
      <c r="M12" s="858"/>
      <c r="N12" s="859"/>
    </row>
    <row r="13" spans="1:15" s="27" customFormat="1" ht="271.5" customHeight="1">
      <c r="A13" s="112"/>
      <c r="B13" s="249" t="s">
        <v>58</v>
      </c>
      <c r="C13" s="250"/>
      <c r="D13" s="826" t="str">
        <f>IF(ISBLANK(Financiar!I9),"",(Financiar!I9))</f>
        <v/>
      </c>
      <c r="E13" s="826"/>
      <c r="F13" s="826"/>
      <c r="G13" s="860"/>
      <c r="H13" s="281"/>
      <c r="I13" s="857"/>
      <c r="J13" s="858"/>
      <c r="K13" s="858"/>
      <c r="L13" s="858"/>
      <c r="M13" s="858"/>
      <c r="N13" s="859"/>
    </row>
    <row r="14" spans="1:15" s="27" customFormat="1" ht="52.5" customHeight="1" thickBot="1">
      <c r="A14" s="112"/>
      <c r="B14" s="247" t="s">
        <v>59</v>
      </c>
      <c r="C14" s="248"/>
      <c r="D14" s="866" t="str">
        <f>IF(ISBLANK(Financiar!I23),"",(Financiar!I23))</f>
        <v/>
      </c>
      <c r="E14" s="866"/>
      <c r="F14" s="866"/>
      <c r="G14" s="867"/>
      <c r="H14" s="281"/>
      <c r="I14" s="848"/>
      <c r="J14" s="849"/>
      <c r="K14" s="849"/>
      <c r="L14" s="849"/>
      <c r="M14" s="849"/>
      <c r="N14" s="850"/>
    </row>
    <row r="15" spans="1:15" s="27" customFormat="1" ht="4.5" customHeight="1">
      <c r="A15" s="112"/>
      <c r="B15" s="117"/>
      <c r="C15" s="118"/>
      <c r="D15" s="282"/>
      <c r="E15" s="282"/>
      <c r="F15" s="282"/>
      <c r="G15" s="282"/>
      <c r="H15" s="281"/>
      <c r="I15" s="283"/>
      <c r="J15" s="283"/>
      <c r="K15" s="283"/>
      <c r="L15" s="283"/>
      <c r="M15" s="283"/>
      <c r="N15" s="283"/>
      <c r="O15" s="49"/>
    </row>
    <row r="16" spans="1:15" s="26" customFormat="1" ht="21" customHeight="1" thickBot="1">
      <c r="A16" s="108"/>
      <c r="B16" s="846" t="s">
        <v>392</v>
      </c>
      <c r="C16" s="846"/>
      <c r="D16" s="846"/>
      <c r="E16" s="846"/>
      <c r="F16" s="846"/>
      <c r="G16" s="846"/>
      <c r="H16" s="846"/>
      <c r="I16" s="846"/>
      <c r="J16" s="846"/>
      <c r="K16" s="846"/>
      <c r="L16" s="846"/>
      <c r="M16" s="846"/>
      <c r="N16" s="846"/>
    </row>
    <row r="17" spans="1:20" s="27" customFormat="1" ht="3.75" customHeight="1" thickBot="1">
      <c r="A17" s="112"/>
      <c r="B17" s="284"/>
      <c r="C17" s="115"/>
      <c r="D17" s="285"/>
      <c r="E17" s="286"/>
      <c r="F17" s="287"/>
      <c r="G17" s="287"/>
      <c r="H17" s="288"/>
      <c r="I17" s="116"/>
      <c r="J17" s="289"/>
      <c r="K17" s="290"/>
      <c r="L17" s="291"/>
      <c r="M17" s="114"/>
      <c r="N17" s="292"/>
    </row>
    <row r="18" spans="1:20" s="27" customFormat="1" ht="22.5" customHeight="1" thickBot="1">
      <c r="A18" s="112"/>
      <c r="B18" s="854" t="s">
        <v>55</v>
      </c>
      <c r="C18" s="843"/>
      <c r="D18" s="868" t="s">
        <v>389</v>
      </c>
      <c r="E18" s="869"/>
      <c r="F18" s="869"/>
      <c r="G18" s="870"/>
      <c r="H18" s="293"/>
      <c r="I18" s="861" t="s">
        <v>387</v>
      </c>
      <c r="J18" s="862"/>
      <c r="K18" s="862"/>
      <c r="L18" s="862"/>
      <c r="M18" s="863"/>
      <c r="N18" s="863"/>
    </row>
    <row r="19" spans="1:20" s="27" customFormat="1" ht="37.5" customHeight="1">
      <c r="A19" s="112"/>
      <c r="B19" s="251" t="s">
        <v>64</v>
      </c>
      <c r="C19" s="252"/>
      <c r="D19" s="828" t="str">
        <f>IF(ISBLANK(Management!C8),"",(Management!C8))</f>
        <v>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(informație disponibilă anual, se va raporta în următoarea perioadă)
-Asigurarea cooperării cu Comitetul de Lumină Verde(GLC), inclusiv prin bugetarea și autorizarea transferului cotizațiilor anuale de maximum 50.000 USD. (se va raporta în următoarea perioadă)</v>
      </c>
      <c r="E19" s="828"/>
      <c r="F19" s="828"/>
      <c r="G19" s="829"/>
      <c r="H19" s="294"/>
      <c r="I19" s="833"/>
      <c r="J19" s="834"/>
      <c r="K19" s="834"/>
      <c r="L19" s="834"/>
      <c r="M19" s="834"/>
      <c r="N19" s="835"/>
    </row>
    <row r="20" spans="1:20" ht="47.25" customHeight="1">
      <c r="A20" s="106"/>
      <c r="B20" s="255" t="s">
        <v>65</v>
      </c>
      <c r="C20" s="256"/>
      <c r="D20" s="826" t="str">
        <f>IF(ISBLANK(Management!I8),"",(Management!I8))</f>
        <v>Toate posturile în cadrul echipei ce gestionează Grantul curent sunt ocupate.</v>
      </c>
      <c r="E20" s="826" t="e">
        <f>+'Introducerea datelor'!D75/'Introducerea datelor'!G75</f>
        <v>#DIV/0!</v>
      </c>
      <c r="F20" s="826" t="e">
        <f>+('Introducerea datelor'!E75+'Introducerea datelor'!F75)/'Introducerea datelor'!G75</f>
        <v>#DIV/0!</v>
      </c>
      <c r="G20" s="827"/>
      <c r="H20" s="294"/>
      <c r="I20" s="839"/>
      <c r="J20" s="840"/>
      <c r="K20" s="840"/>
      <c r="L20" s="840"/>
      <c r="M20" s="840"/>
      <c r="N20" s="841"/>
      <c r="O20" s="28"/>
    </row>
    <row r="21" spans="1:20" ht="90.75" customHeight="1">
      <c r="A21" s="106"/>
      <c r="B21" s="257" t="s">
        <v>66</v>
      </c>
      <c r="C21" s="256"/>
      <c r="D21" s="826" t="str">
        <f>IF(ISBLANK(Management!C16),"",(Management!C16))</f>
        <v>Contractul de Sub-recipient cu IMSP IFP ”Chiril Draganiuc” a fost semnat la 09 februarie 2018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26"/>
      <c r="F21" s="826"/>
      <c r="G21" s="827"/>
      <c r="H21" s="294"/>
      <c r="I21" s="839"/>
      <c r="J21" s="840"/>
      <c r="K21" s="840"/>
      <c r="L21" s="840"/>
      <c r="M21" s="840"/>
      <c r="N21" s="841"/>
      <c r="O21" s="28"/>
    </row>
    <row r="22" spans="1:20" ht="46.5" customHeight="1">
      <c r="A22" s="106"/>
      <c r="B22" s="257" t="s">
        <v>67</v>
      </c>
      <c r="C22" s="256"/>
      <c r="D22" s="826" t="str">
        <f>IF(ISBLANK(Management!I16),"",(Management!I16))</f>
        <v>În perioada raportată Sub-Recipientii au prezentat cite două rapoarte trimestriale, in conformitate cu acordurile semnate.</v>
      </c>
      <c r="E22" s="826"/>
      <c r="F22" s="826"/>
      <c r="G22" s="827"/>
      <c r="H22" s="294"/>
      <c r="I22" s="839"/>
      <c r="J22" s="840"/>
      <c r="K22" s="840"/>
      <c r="L22" s="840"/>
      <c r="M22" s="840"/>
      <c r="N22" s="841"/>
      <c r="O22" s="28"/>
    </row>
    <row r="23" spans="1:20" ht="43.5" customHeight="1">
      <c r="A23" s="106"/>
      <c r="B23" s="257" t="s">
        <v>68</v>
      </c>
      <c r="C23" s="256"/>
      <c r="D23" s="826" t="str">
        <f>IF(ISBLANK(Management!C27),"",(Management!C27))</f>
        <v xml:space="preserve">Variația dintre bugetul aprobat și cheltuieli cumulative, se datorează in mare parte sumei de 195 mii USD plătite în avans în cadrul Grantul anterior pentru medicamentele antituberculoase de linia II și care urmează a fi dedusă din cadrul Grantului actual. </v>
      </c>
      <c r="E23" s="826"/>
      <c r="F23" s="826"/>
      <c r="G23" s="827"/>
      <c r="H23" s="294"/>
      <c r="I23" s="839"/>
      <c r="J23" s="840"/>
      <c r="K23" s="840"/>
      <c r="L23" s="840"/>
      <c r="M23" s="840"/>
      <c r="N23" s="841"/>
      <c r="O23" s="28"/>
    </row>
    <row r="24" spans="1:20" ht="60" customHeight="1" thickBot="1">
      <c r="A24" s="106"/>
      <c r="B24" s="253" t="s">
        <v>69</v>
      </c>
      <c r="C24" s="254"/>
      <c r="D24" s="844" t="str">
        <f>IF(ISBLANK(Management!I27),"",(Management!I27))</f>
        <v>Analiza stocului (la finele trim I 2019) medicamentelor antituberculoase de linia a II și a III, a numărului de pacienți în tratament la aceeași dată, arata prezența unui stock  între 4 și 6 luni, pentru preparatele de baza. În baza estimărilor respective a fost efectuată și plasată comanda pentru perioada ulterioară.</v>
      </c>
      <c r="E24" s="844"/>
      <c r="F24" s="844"/>
      <c r="G24" s="845"/>
      <c r="H24" s="294"/>
      <c r="I24" s="836"/>
      <c r="J24" s="837"/>
      <c r="K24" s="837"/>
      <c r="L24" s="837"/>
      <c r="M24" s="837"/>
      <c r="N24" s="838"/>
      <c r="O24" s="28"/>
      <c r="T24" s="271"/>
    </row>
    <row r="25" spans="1:20" ht="4.5" customHeight="1">
      <c r="A25" s="108"/>
      <c r="B25" s="295"/>
      <c r="C25" s="296"/>
      <c r="D25" s="297"/>
      <c r="E25" s="298"/>
      <c r="F25" s="299"/>
      <c r="G25" s="299"/>
      <c r="H25" s="293"/>
      <c r="I25" s="298"/>
      <c r="J25" s="300"/>
      <c r="K25" s="290"/>
      <c r="L25" s="291"/>
      <c r="M25" s="114"/>
      <c r="N25" s="292"/>
      <c r="O25" s="28"/>
    </row>
    <row r="26" spans="1:20" s="26" customFormat="1" ht="21" customHeight="1" thickBot="1">
      <c r="A26" s="108"/>
      <c r="B26" s="846" t="s">
        <v>391</v>
      </c>
      <c r="C26" s="846"/>
      <c r="D26" s="846"/>
      <c r="E26" s="846"/>
      <c r="F26" s="846"/>
      <c r="G26" s="846"/>
      <c r="H26" s="846"/>
      <c r="I26" s="846"/>
      <c r="J26" s="846"/>
      <c r="K26" s="846"/>
      <c r="L26" s="846"/>
      <c r="M26" s="846"/>
      <c r="N26" s="846"/>
      <c r="R26" s="272"/>
    </row>
    <row r="27" spans="1:20" ht="3.75" customHeight="1" thickBot="1">
      <c r="A27" s="108"/>
      <c r="B27" s="295"/>
      <c r="C27" s="296"/>
      <c r="D27" s="297"/>
      <c r="E27" s="298"/>
      <c r="F27" s="299"/>
      <c r="G27" s="299"/>
      <c r="H27" s="293"/>
      <c r="I27" s="298"/>
      <c r="J27" s="300"/>
      <c r="K27" s="290"/>
      <c r="L27" s="291"/>
      <c r="M27" s="114"/>
      <c r="N27" s="292"/>
      <c r="O27" s="28"/>
    </row>
    <row r="28" spans="1:20" ht="21.75" customHeight="1" thickBot="1">
      <c r="A28" s="106"/>
      <c r="B28" s="842" t="s">
        <v>390</v>
      </c>
      <c r="C28" s="843"/>
      <c r="D28" s="830" t="s">
        <v>389</v>
      </c>
      <c r="E28" s="831"/>
      <c r="F28" s="831"/>
      <c r="G28" s="832"/>
      <c r="H28" s="293"/>
      <c r="I28" s="830" t="s">
        <v>387</v>
      </c>
      <c r="J28" s="831"/>
      <c r="K28" s="831"/>
      <c r="L28" s="831"/>
      <c r="M28" s="831"/>
      <c r="N28" s="832"/>
      <c r="O28" s="28"/>
    </row>
    <row r="29" spans="1:20" ht="86.25" hidden="1" customHeight="1">
      <c r="A29" s="106"/>
      <c r="B29" s="301" t="s">
        <v>242</v>
      </c>
      <c r="C29" s="302"/>
      <c r="D29" s="822" t="str">
        <f>IF(ISBLANK(Programatic!D9),"",(Programatic!D9))</f>
        <v xml:space="preserve">Date preliminare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v>
      </c>
      <c r="E29" s="823"/>
      <c r="F29" s="823"/>
      <c r="G29" s="824"/>
      <c r="H29" s="294"/>
      <c r="I29" s="816"/>
      <c r="J29" s="817"/>
      <c r="K29" s="817"/>
      <c r="L29" s="817"/>
      <c r="M29" s="817"/>
      <c r="N29" s="818"/>
      <c r="O29" s="28"/>
    </row>
    <row r="30" spans="1:20" ht="87" hidden="1" customHeight="1">
      <c r="A30" s="106"/>
      <c r="B30" s="303" t="s">
        <v>243</v>
      </c>
      <c r="C30" s="304"/>
      <c r="D30" s="825" t="str">
        <f>IF(ISBLANK(Programatic!H9),"",(Programatic!H9))</f>
        <v xml:space="preserve">Date preliminare pentru anul 2018. 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v>
      </c>
      <c r="E30" s="814"/>
      <c r="F30" s="814"/>
      <c r="G30" s="815"/>
      <c r="H30" s="294"/>
      <c r="I30" s="819"/>
      <c r="J30" s="820"/>
      <c r="K30" s="820"/>
      <c r="L30" s="820"/>
      <c r="M30" s="820"/>
      <c r="N30" s="821"/>
      <c r="O30" s="28"/>
    </row>
    <row r="31" spans="1:20" ht="75" hidden="1" customHeight="1">
      <c r="A31" s="106"/>
      <c r="B31" s="303" t="s">
        <v>244</v>
      </c>
      <c r="C31" s="304"/>
      <c r="D31" s="825" t="str">
        <f>IF(ISBLANK(Programatic!N9),"",(Programatic!N9))</f>
        <v>Indicatorul se raportează anual. Datele finale pentru anul 2018 sunt raportabile către 15 August 2019.</v>
      </c>
      <c r="E31" s="814"/>
      <c r="F31" s="814"/>
      <c r="G31" s="815"/>
      <c r="H31" s="294"/>
      <c r="I31" s="819"/>
      <c r="J31" s="820"/>
      <c r="K31" s="820"/>
      <c r="L31" s="820"/>
      <c r="M31" s="820"/>
      <c r="N31" s="821"/>
      <c r="O31" s="28"/>
    </row>
    <row r="32" spans="1:20" ht="94.5" customHeight="1">
      <c r="A32" s="106"/>
      <c r="B32" s="305" t="s">
        <v>60</v>
      </c>
      <c r="C32" s="304"/>
      <c r="D32" s="813" t="str">
        <f>IF(ISBLANK(Programatic!M35),"",(Programatic!M35))</f>
        <v xml:space="preserve">Date preliminare pentru anul 2018. 304 persoane au decedat de tuberculoză în anul 2018 (7,54 decese la 100 000 persoane). 
Notă - Ținta a fost atinsă. Se constată o micșorare cu 5% a ratei de mortalitate față de datele anului 2017 (320 cazuri de deces cauzate de tuberculoză), cu 18,3% a ratei de mortalitate față de datele anului 2016 (372 cazuri de deces cauzate de tuberculoză), cu 25,5% a ratei de mortalitate față de datele anului 2015 (408 cazuri de deces cauzate de tuberculoză), cu 40,2% a ratei de mortalitate față de datele anului 2014 (508 cazuri de deces cauzate de tuberculoză) și cu 33,3% față de datele anului 2013 (456 cazuri de deces cauzate de tuberculoză). </v>
      </c>
      <c r="E32" s="814"/>
      <c r="F32" s="814"/>
      <c r="G32" s="815"/>
      <c r="H32" s="294"/>
      <c r="I32" s="819"/>
      <c r="J32" s="820"/>
      <c r="K32" s="820"/>
      <c r="L32" s="820"/>
      <c r="M32" s="820"/>
      <c r="N32" s="821"/>
      <c r="O32" s="28"/>
    </row>
    <row r="33" spans="1:15" ht="87" customHeight="1">
      <c r="A33" s="106"/>
      <c r="B33" s="305" t="s">
        <v>61</v>
      </c>
      <c r="C33" s="304"/>
      <c r="D33" s="813" t="str">
        <f>IF(ISBLANK(Programatic!M36),"",(Programatic!M36))</f>
        <v xml:space="preserve">Date preliminare pentru anul 2018. 393 cazuri noi de tuberculoză cu testul pozitiv la cultură, examinate la sensibilitate pentru preparatele de linia I, din 1 424 cazuri investigate în 2018, au fost diagnosticate cu MDR.
Notă - Se constată menținerea unei rate înalte a TB MDR printre cazurile noi - situație caracteristică ultimilor ani. </v>
      </c>
      <c r="E33" s="814"/>
      <c r="F33" s="814"/>
      <c r="G33" s="815"/>
      <c r="H33" s="294"/>
      <c r="I33" s="819"/>
      <c r="J33" s="820"/>
      <c r="K33" s="820"/>
      <c r="L33" s="820"/>
      <c r="M33" s="820"/>
      <c r="N33" s="821"/>
      <c r="O33" s="28"/>
    </row>
    <row r="34" spans="1:15" ht="199.5" customHeight="1">
      <c r="A34" s="106"/>
      <c r="B34" s="305" t="s">
        <v>62</v>
      </c>
      <c r="C34" s="304"/>
      <c r="D34" s="813" t="str">
        <f>IF(ISBLANK(Programatic!M37),"",(Programatic!M37))</f>
        <v xml:space="preserve">Indicatorul se raportează anual. Datele finale pentru anul 2018 sunt raportabile către 15 august 2019.
</v>
      </c>
      <c r="E34" s="814"/>
      <c r="F34" s="814"/>
      <c r="G34" s="815"/>
      <c r="H34" s="294"/>
      <c r="I34" s="819"/>
      <c r="J34" s="820"/>
      <c r="K34" s="820"/>
      <c r="L34" s="820"/>
      <c r="M34" s="820"/>
      <c r="N34" s="821"/>
      <c r="O34" s="28"/>
    </row>
    <row r="35" spans="1:15" ht="107.25" customHeight="1">
      <c r="A35" s="106"/>
      <c r="B35" s="305" t="s">
        <v>63</v>
      </c>
      <c r="C35" s="306"/>
      <c r="D35" s="813" t="str">
        <f>IF(ISBLANK(Programatic!M46),"",(Programatic!M46))</f>
        <v>Data de raportare - 31 August 2020. Datele sunt colectate și validate în conformitate cu rezultatele Studiului Bio-Comportamental (BSS).</v>
      </c>
      <c r="E35" s="814"/>
      <c r="F35" s="814"/>
      <c r="G35" s="815"/>
      <c r="H35" s="294"/>
      <c r="I35" s="819"/>
      <c r="J35" s="820"/>
      <c r="K35" s="820"/>
      <c r="L35" s="820"/>
      <c r="M35" s="820"/>
      <c r="N35" s="821"/>
      <c r="O35" s="28"/>
    </row>
    <row r="36" spans="1:15" ht="82.5" customHeight="1">
      <c r="A36" s="106"/>
      <c r="B36" s="305" t="s">
        <v>70</v>
      </c>
      <c r="C36" s="306"/>
      <c r="D36" s="813" t="str">
        <f>IF(ISBLANK(Programatic!M47),"",(Programatic!M47))</f>
        <v>Data de raportare - 31 August 2020. Datele sunt colectate și validate în conformitate cu rezultatele Studiului Bio-Comportamental (BSS).</v>
      </c>
      <c r="E36" s="814"/>
      <c r="F36" s="814"/>
      <c r="G36" s="815"/>
      <c r="H36" s="294"/>
      <c r="I36" s="819"/>
      <c r="J36" s="820"/>
      <c r="K36" s="820"/>
      <c r="L36" s="820"/>
      <c r="M36" s="820"/>
      <c r="N36" s="821"/>
      <c r="O36" s="28"/>
    </row>
    <row r="37" spans="1:15" ht="102" customHeight="1">
      <c r="A37" s="106"/>
      <c r="B37" s="305" t="s">
        <v>71</v>
      </c>
      <c r="C37" s="306"/>
      <c r="D37" s="813" t="str">
        <f>IF(ISBLANK(Programatic!M48),"",(Programatic!M48))</f>
        <v xml:space="preserve">Date preliminare pentru anul 2018. 811 cazuri cu tuberculoză drog-rezistentă (RR-TB și/sau MDR-TB), confirmate bacteriologic, au fost notificate, față de 1 069 cazuri estimate pentru perioada raportată.                                                    
Notă - Reducerea numărului de pacienți MDR TB notificați este în directă corespundere cu scăderea incidenței TB.    </v>
      </c>
      <c r="E37" s="814"/>
      <c r="F37" s="814"/>
      <c r="G37" s="815"/>
      <c r="H37" s="294"/>
      <c r="I37" s="819"/>
      <c r="J37" s="820"/>
      <c r="K37" s="820"/>
      <c r="L37" s="820"/>
      <c r="M37" s="820"/>
      <c r="N37" s="821"/>
      <c r="O37" s="28"/>
    </row>
    <row r="38" spans="1:15" ht="162.75" customHeight="1">
      <c r="A38" s="106"/>
      <c r="B38" s="305" t="s">
        <v>72</v>
      </c>
      <c r="C38" s="306"/>
      <c r="D38" s="813" t="str">
        <f>IF(ISBLANK(Programatic!M49),"",(Programatic!M49))</f>
        <v xml:space="preserve">Date preliminare pentru anul 2018. 937 pacienți cu tuberculoză drog-rezistentă (RR-TB și/sau MDR-TB), confirmate bacteriologic, au demarat tratamentul DOTS-Plus în anul 2018, față de 1 061 pacienți estimați pentru perioada raportată.                                                                                                        </v>
      </c>
      <c r="E38" s="814"/>
      <c r="F38" s="814"/>
      <c r="G38" s="815"/>
      <c r="H38" s="294"/>
      <c r="I38" s="819"/>
      <c r="J38" s="820"/>
      <c r="K38" s="820"/>
      <c r="L38" s="820"/>
      <c r="M38" s="820"/>
      <c r="N38" s="821"/>
      <c r="O38" s="28"/>
    </row>
    <row r="39" spans="1:15" ht="178.5" customHeight="1"/>
  </sheetData>
  <mergeCells count="58">
    <mergeCell ref="B18:C18"/>
    <mergeCell ref="B10:C10"/>
    <mergeCell ref="D10:G10"/>
    <mergeCell ref="I12:N12"/>
    <mergeCell ref="D12:G12"/>
    <mergeCell ref="I11:N11"/>
    <mergeCell ref="I18:N18"/>
    <mergeCell ref="D11:G11"/>
    <mergeCell ref="D13:G13"/>
    <mergeCell ref="I13:N13"/>
    <mergeCell ref="D14:G14"/>
    <mergeCell ref="D18:G1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19:G19"/>
    <mergeCell ref="D21:G21"/>
    <mergeCell ref="D22:G22"/>
    <mergeCell ref="I28:N28"/>
    <mergeCell ref="I19:N19"/>
    <mergeCell ref="I24:N24"/>
    <mergeCell ref="I20:N20"/>
    <mergeCell ref="D23:G23"/>
    <mergeCell ref="D28:G28"/>
    <mergeCell ref="D32:G32"/>
    <mergeCell ref="D30:G30"/>
    <mergeCell ref="D31:G31"/>
    <mergeCell ref="D33:G33"/>
    <mergeCell ref="D20:G20"/>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O25" sqref="O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89" t="str">
        <f>+"Tabel Programatic de Evaluare:  "&amp;"  "&amp;IF(+'Introducerea datelor'!C4="Please Select","",'Introducerea datelor'!C4&amp;" - ")&amp;IF('Introducerea datelor'!G6="Please Select","",'Introducerea datelor'!G6)</f>
        <v>Tabel Programatic de Evaluare:    Moldova - HIVAIDS / TB</v>
      </c>
      <c r="C2" s="889"/>
      <c r="D2" s="889"/>
      <c r="E2" s="889"/>
      <c r="F2" s="889"/>
      <c r="G2" s="889"/>
      <c r="H2" s="889"/>
      <c r="I2" s="889"/>
      <c r="J2" s="889"/>
      <c r="K2" s="889"/>
      <c r="L2" s="889"/>
    </row>
    <row r="3" spans="1:13">
      <c r="B3" s="21" t="str">
        <f>+IF('Introducerea datelor'!G8="Please Select","",'Introducerea datelor'!G8)</f>
        <v/>
      </c>
      <c r="C3" s="898" t="str">
        <f>+IF('Introducerea datelor'!I8="Please Select","",'Introducerea datelor'!I8)</f>
        <v/>
      </c>
      <c r="D3" s="898"/>
      <c r="E3" s="894"/>
      <c r="F3" s="894"/>
      <c r="G3" s="894"/>
      <c r="H3" s="894"/>
      <c r="I3" s="894"/>
      <c r="J3" s="895" t="str">
        <f>+'Introducerea datelor'!B16</f>
        <v>Perioada de Raportare:</v>
      </c>
      <c r="K3" s="895"/>
      <c r="L3" s="121" t="str">
        <f>+'Introducerea datelor'!C16</f>
        <v>P2</v>
      </c>
      <c r="M3" s="54"/>
    </row>
    <row r="4" spans="1:13">
      <c r="B4" s="21" t="str">
        <f>+'Introducerea datelor'!B12</f>
        <v>Ultimul Rating:</v>
      </c>
      <c r="C4" s="890" t="str">
        <f>+IF('Introducerea datelor'!C12="Please Select","",'Introducerea datelor'!C12)</f>
        <v/>
      </c>
      <c r="D4" s="890"/>
      <c r="E4" s="894" t="str">
        <f>+'Introducerea datelor'!C8</f>
        <v>IP UCIMP DS</v>
      </c>
      <c r="F4" s="894"/>
      <c r="G4" s="894"/>
      <c r="H4" s="894"/>
      <c r="I4" s="894"/>
      <c r="J4" s="895" t="str">
        <f>+'Introducerea datelor'!D16</f>
        <v>De la:</v>
      </c>
      <c r="K4" s="896"/>
      <c r="L4" s="122">
        <f>+IF(ISBLANK('Introducerea datelor'!E16),"",'Introducerea datelor'!E16)</f>
        <v>43282</v>
      </c>
    </row>
    <row r="5" spans="1:13" ht="18.75" customHeight="1">
      <c r="B5" s="21"/>
      <c r="C5" s="21"/>
      <c r="D5" s="894" t="str">
        <f>+'Introducerea datelor'!G4</f>
        <v>Consolidarea controlului tuberculozei și reducerea SIDA și a mortalității aferente în Republica Moldova</v>
      </c>
      <c r="E5" s="894"/>
      <c r="F5" s="894"/>
      <c r="G5" s="894"/>
      <c r="H5" s="894"/>
      <c r="I5" s="894"/>
      <c r="J5" s="894"/>
      <c r="K5" s="21" t="str">
        <f>+'Introducerea datelor'!F16</f>
        <v>Pînă la:</v>
      </c>
      <c r="L5" s="122">
        <f>+IF(ISBLANK('Introducerea datelor'!G16),"",'Introducerea datelor'!G16)</f>
        <v>43465</v>
      </c>
    </row>
    <row r="6" spans="1:13" ht="18.75">
      <c r="B6" s="20"/>
      <c r="C6" s="21"/>
      <c r="D6" s="22"/>
      <c r="E6" s="897" t="s">
        <v>394</v>
      </c>
      <c r="F6" s="897"/>
      <c r="G6" s="897"/>
      <c r="H6" s="897"/>
      <c r="I6" s="897"/>
    </row>
    <row r="7" spans="1:13" ht="18.75">
      <c r="E7" s="46"/>
      <c r="F7" s="46"/>
      <c r="G7" s="46"/>
      <c r="H7" s="46"/>
      <c r="I7" s="46"/>
    </row>
    <row r="8" spans="1:13" s="26" customFormat="1" ht="21" customHeight="1" thickBot="1">
      <c r="B8" s="50" t="s">
        <v>395</v>
      </c>
      <c r="C8" s="50"/>
      <c r="D8" s="50"/>
      <c r="E8" s="50"/>
      <c r="F8" s="50"/>
      <c r="G8" s="50"/>
      <c r="H8" s="50"/>
      <c r="I8" s="50"/>
      <c r="J8" s="50"/>
      <c r="K8" s="50"/>
      <c r="L8" s="50"/>
    </row>
    <row r="9" spans="1:13" ht="6" customHeight="1">
      <c r="B9" s="48"/>
    </row>
    <row r="10" spans="1:13" ht="18" customHeight="1">
      <c r="B10" s="871"/>
      <c r="C10" s="872"/>
      <c r="D10" s="872"/>
      <c r="E10" s="872"/>
      <c r="F10" s="872"/>
      <c r="G10" s="872"/>
      <c r="H10" s="872"/>
      <c r="I10" s="872"/>
      <c r="J10" s="872"/>
      <c r="K10" s="872"/>
      <c r="L10" s="873"/>
    </row>
    <row r="11" spans="1:13" ht="18" customHeight="1">
      <c r="B11" s="874"/>
      <c r="C11" s="875"/>
      <c r="D11" s="875"/>
      <c r="E11" s="875"/>
      <c r="F11" s="875"/>
      <c r="G11" s="875"/>
      <c r="H11" s="875"/>
      <c r="I11" s="875"/>
      <c r="J11" s="875"/>
      <c r="K11" s="875"/>
      <c r="L11" s="876"/>
    </row>
    <row r="12" spans="1:13" ht="15.75" thickBot="1"/>
    <row r="13" spans="1:13" ht="26.25" customHeight="1" thickBot="1">
      <c r="B13" s="885" t="s">
        <v>417</v>
      </c>
      <c r="C13" s="886"/>
      <c r="D13" s="886"/>
      <c r="E13" s="887"/>
      <c r="F13" s="51"/>
      <c r="G13" s="879" t="s">
        <v>396</v>
      </c>
      <c r="H13" s="877"/>
      <c r="I13" s="877"/>
      <c r="J13" s="52" t="s">
        <v>397</v>
      </c>
      <c r="K13" s="877" t="s">
        <v>398</v>
      </c>
      <c r="L13" s="878"/>
    </row>
    <row r="14" spans="1:13" ht="18.75" customHeight="1">
      <c r="A14" s="902" t="s">
        <v>399</v>
      </c>
      <c r="B14" s="916"/>
      <c r="C14" s="917"/>
      <c r="D14" s="917"/>
      <c r="E14" s="918"/>
      <c r="F14" s="31"/>
      <c r="G14" s="915"/>
      <c r="H14" s="891"/>
      <c r="I14" s="891"/>
      <c r="J14" s="891"/>
      <c r="K14" s="891"/>
      <c r="L14" s="892"/>
    </row>
    <row r="15" spans="1:13" ht="18.75" customHeight="1">
      <c r="A15" s="903"/>
      <c r="B15" s="908"/>
      <c r="C15" s="909"/>
      <c r="D15" s="909"/>
      <c r="E15" s="910"/>
      <c r="F15" s="31"/>
      <c r="G15" s="880"/>
      <c r="H15" s="881"/>
      <c r="I15" s="881"/>
      <c r="J15" s="881"/>
      <c r="K15" s="881"/>
      <c r="L15" s="893"/>
    </row>
    <row r="16" spans="1:13" ht="18.75" customHeight="1">
      <c r="A16" s="903"/>
      <c r="B16" s="905"/>
      <c r="C16" s="906"/>
      <c r="D16" s="906"/>
      <c r="E16" s="907"/>
      <c r="F16" s="31"/>
      <c r="G16" s="880"/>
      <c r="H16" s="881"/>
      <c r="I16" s="881"/>
      <c r="J16" s="881"/>
      <c r="K16" s="881"/>
      <c r="L16" s="893"/>
    </row>
    <row r="17" spans="1:12" ht="18.75" customHeight="1">
      <c r="A17" s="903"/>
      <c r="B17" s="908"/>
      <c r="C17" s="909"/>
      <c r="D17" s="909"/>
      <c r="E17" s="910"/>
      <c r="F17" s="31"/>
      <c r="G17" s="880"/>
      <c r="H17" s="881"/>
      <c r="I17" s="881"/>
      <c r="J17" s="881"/>
      <c r="K17" s="881"/>
      <c r="L17" s="893"/>
    </row>
    <row r="18" spans="1:12" ht="18.75" customHeight="1">
      <c r="A18" s="903"/>
      <c r="B18" s="905"/>
      <c r="C18" s="906"/>
      <c r="D18" s="906"/>
      <c r="E18" s="907"/>
      <c r="F18" s="31"/>
      <c r="G18" s="920"/>
      <c r="H18" s="921"/>
      <c r="I18" s="922"/>
      <c r="J18" s="881"/>
      <c r="K18" s="881"/>
      <c r="L18" s="893"/>
    </row>
    <row r="19" spans="1:12" ht="18.75" customHeight="1">
      <c r="A19" s="903"/>
      <c r="B19" s="908"/>
      <c r="C19" s="909"/>
      <c r="D19" s="909"/>
      <c r="E19" s="910"/>
      <c r="F19" s="31"/>
      <c r="G19" s="923"/>
      <c r="H19" s="924"/>
      <c r="I19" s="925"/>
      <c r="J19" s="881"/>
      <c r="K19" s="881"/>
      <c r="L19" s="893"/>
    </row>
    <row r="20" spans="1:12" ht="18.75" customHeight="1">
      <c r="A20" s="903"/>
      <c r="B20" s="911"/>
      <c r="C20" s="911"/>
      <c r="D20" s="911"/>
      <c r="E20" s="912"/>
      <c r="F20" s="31"/>
      <c r="G20" s="880"/>
      <c r="H20" s="881"/>
      <c r="I20" s="881"/>
      <c r="J20" s="881"/>
      <c r="K20" s="881"/>
      <c r="L20" s="893"/>
    </row>
    <row r="21" spans="1:12" ht="18.75" customHeight="1">
      <c r="A21" s="903"/>
      <c r="B21" s="911"/>
      <c r="C21" s="911"/>
      <c r="D21" s="911"/>
      <c r="E21" s="912"/>
      <c r="F21" s="31"/>
      <c r="G21" s="880"/>
      <c r="H21" s="881"/>
      <c r="I21" s="881"/>
      <c r="J21" s="881"/>
      <c r="K21" s="881"/>
      <c r="L21" s="893"/>
    </row>
    <row r="22" spans="1:12" ht="18.75" customHeight="1">
      <c r="A22" s="903"/>
      <c r="B22" s="911"/>
      <c r="C22" s="911"/>
      <c r="D22" s="911"/>
      <c r="E22" s="912"/>
      <c r="F22" s="31"/>
      <c r="G22" s="880"/>
      <c r="H22" s="881"/>
      <c r="I22" s="881"/>
      <c r="J22" s="881"/>
      <c r="K22" s="881"/>
      <c r="L22" s="893"/>
    </row>
    <row r="23" spans="1:12" ht="18.75" customHeight="1">
      <c r="A23" s="903"/>
      <c r="B23" s="911"/>
      <c r="C23" s="911"/>
      <c r="D23" s="911"/>
      <c r="E23" s="912"/>
      <c r="F23" s="31"/>
      <c r="G23" s="880"/>
      <c r="H23" s="881"/>
      <c r="I23" s="881"/>
      <c r="J23" s="881"/>
      <c r="K23" s="881"/>
      <c r="L23" s="893"/>
    </row>
    <row r="24" spans="1:12" ht="18.75" customHeight="1">
      <c r="A24" s="903"/>
      <c r="B24" s="911"/>
      <c r="C24" s="911"/>
      <c r="D24" s="911"/>
      <c r="E24" s="912"/>
      <c r="F24" s="31"/>
      <c r="G24" s="880"/>
      <c r="H24" s="881"/>
      <c r="I24" s="881"/>
      <c r="J24" s="881"/>
      <c r="K24" s="881"/>
      <c r="L24" s="893"/>
    </row>
    <row r="25" spans="1:12" ht="18.75" customHeight="1" thickBot="1">
      <c r="A25" s="904"/>
      <c r="B25" s="913"/>
      <c r="C25" s="913"/>
      <c r="D25" s="913"/>
      <c r="E25" s="914"/>
      <c r="F25" s="31"/>
      <c r="G25" s="882"/>
      <c r="H25" s="883"/>
      <c r="I25" s="883"/>
      <c r="J25" s="883"/>
      <c r="K25" s="883"/>
      <c r="L25" s="926"/>
    </row>
    <row r="27" spans="1:12" ht="18.75">
      <c r="E27" s="884" t="s">
        <v>400</v>
      </c>
      <c r="F27" s="884"/>
      <c r="G27" s="884"/>
      <c r="H27" s="884"/>
      <c r="I27" s="884"/>
    </row>
    <row r="28" spans="1:12" ht="6" customHeight="1">
      <c r="E28" s="46"/>
      <c r="F28" s="46"/>
      <c r="G28" s="46"/>
      <c r="H28" s="46"/>
      <c r="I28" s="46"/>
    </row>
    <row r="29" spans="1:12" s="26" customFormat="1" ht="21" customHeight="1" thickBot="1">
      <c r="B29" s="50" t="s">
        <v>401</v>
      </c>
      <c r="C29" s="50"/>
      <c r="D29" s="50"/>
      <c r="E29" s="50"/>
      <c r="F29" s="50"/>
      <c r="G29" s="50"/>
      <c r="H29" s="50"/>
      <c r="I29" s="50"/>
      <c r="J29" s="50"/>
      <c r="K29" s="50"/>
      <c r="L29" s="50"/>
    </row>
    <row r="30" spans="1:12" ht="6" customHeight="1" thickBot="1">
      <c r="B30" s="48"/>
    </row>
    <row r="31" spans="1:12" ht="38.25" customHeight="1" thickBot="1">
      <c r="B31" s="885" t="s">
        <v>396</v>
      </c>
      <c r="C31" s="886"/>
      <c r="D31" s="886"/>
      <c r="E31" s="887"/>
      <c r="F31" s="51"/>
      <c r="G31" s="879" t="s">
        <v>402</v>
      </c>
      <c r="H31" s="877"/>
      <c r="I31" s="877"/>
      <c r="J31" s="52" t="s">
        <v>403</v>
      </c>
      <c r="K31" s="877" t="s">
        <v>398</v>
      </c>
      <c r="L31" s="878"/>
    </row>
    <row r="32" spans="1:12" ht="16.5" customHeight="1">
      <c r="A32" s="902" t="s">
        <v>404</v>
      </c>
      <c r="B32" s="937"/>
      <c r="C32" s="938"/>
      <c r="D32" s="938"/>
      <c r="E32" s="939"/>
      <c r="F32" s="31"/>
      <c r="G32" s="899"/>
      <c r="H32" s="900"/>
      <c r="I32" s="900"/>
      <c r="J32" s="900"/>
      <c r="K32" s="900"/>
      <c r="L32" s="929"/>
    </row>
    <row r="33" spans="1:12" ht="16.5" customHeight="1">
      <c r="A33" s="903"/>
      <c r="B33" s="923"/>
      <c r="C33" s="924"/>
      <c r="D33" s="924"/>
      <c r="E33" s="940"/>
      <c r="F33" s="31"/>
      <c r="G33" s="901"/>
      <c r="H33" s="888"/>
      <c r="I33" s="888"/>
      <c r="J33" s="888"/>
      <c r="K33" s="888"/>
      <c r="L33" s="927"/>
    </row>
    <row r="34" spans="1:12" ht="16.5" customHeight="1">
      <c r="A34" s="903"/>
      <c r="B34" s="930" t="str">
        <f>IF(Recomandari!I39="","",Recomandari!I39)</f>
        <v/>
      </c>
      <c r="C34" s="931"/>
      <c r="D34" s="931"/>
      <c r="E34" s="932"/>
      <c r="F34" s="31"/>
      <c r="G34" s="901"/>
      <c r="H34" s="888"/>
      <c r="I34" s="888"/>
      <c r="J34" s="888"/>
      <c r="K34" s="888"/>
      <c r="L34" s="927"/>
    </row>
    <row r="35" spans="1:12" ht="16.5" customHeight="1">
      <c r="A35" s="903"/>
      <c r="B35" s="930"/>
      <c r="C35" s="931"/>
      <c r="D35" s="931"/>
      <c r="E35" s="932"/>
      <c r="F35" s="31"/>
      <c r="G35" s="901"/>
      <c r="H35" s="888"/>
      <c r="I35" s="888"/>
      <c r="J35" s="888"/>
      <c r="K35" s="888"/>
      <c r="L35" s="927"/>
    </row>
    <row r="36" spans="1:12" ht="16.5" customHeight="1">
      <c r="A36" s="903"/>
      <c r="B36" s="930" t="str">
        <f>+IF(Recomandari!I49="","",Recomandari!I49)</f>
        <v/>
      </c>
      <c r="C36" s="931"/>
      <c r="D36" s="931"/>
      <c r="E36" s="932"/>
      <c r="F36" s="31"/>
      <c r="G36" s="901"/>
      <c r="H36" s="888"/>
      <c r="I36" s="888"/>
      <c r="J36" s="888"/>
      <c r="K36" s="888"/>
      <c r="L36" s="927"/>
    </row>
    <row r="37" spans="1:12" ht="16.5" customHeight="1">
      <c r="A37" s="903"/>
      <c r="B37" s="930"/>
      <c r="C37" s="931"/>
      <c r="D37" s="931"/>
      <c r="E37" s="932"/>
      <c r="F37" s="31"/>
      <c r="G37" s="901"/>
      <c r="H37" s="888"/>
      <c r="I37" s="888"/>
      <c r="J37" s="888"/>
      <c r="K37" s="888"/>
      <c r="L37" s="927"/>
    </row>
    <row r="38" spans="1:12" ht="16.5" customHeight="1">
      <c r="A38" s="903"/>
      <c r="B38" s="930"/>
      <c r="C38" s="931"/>
      <c r="D38" s="931"/>
      <c r="E38" s="932"/>
      <c r="F38" s="31"/>
      <c r="G38" s="901"/>
      <c r="H38" s="888"/>
      <c r="I38" s="888"/>
      <c r="J38" s="888"/>
      <c r="K38" s="888"/>
      <c r="L38" s="927"/>
    </row>
    <row r="39" spans="1:12" ht="16.5" customHeight="1">
      <c r="A39" s="903"/>
      <c r="B39" s="930"/>
      <c r="C39" s="931"/>
      <c r="D39" s="931"/>
      <c r="E39" s="932"/>
      <c r="F39" s="31"/>
      <c r="G39" s="901"/>
      <c r="H39" s="888"/>
      <c r="I39" s="888"/>
      <c r="J39" s="888"/>
      <c r="K39" s="888"/>
      <c r="L39" s="927"/>
    </row>
    <row r="40" spans="1:12" ht="16.5" customHeight="1">
      <c r="A40" s="903"/>
      <c r="B40" s="930"/>
      <c r="C40" s="931"/>
      <c r="D40" s="931"/>
      <c r="E40" s="932"/>
      <c r="F40" s="31"/>
      <c r="G40" s="901"/>
      <c r="H40" s="888"/>
      <c r="I40" s="888"/>
      <c r="J40" s="888"/>
      <c r="K40" s="888"/>
      <c r="L40" s="927"/>
    </row>
    <row r="41" spans="1:12" ht="16.5" customHeight="1">
      <c r="A41" s="903"/>
      <c r="B41" s="930"/>
      <c r="C41" s="931"/>
      <c r="D41" s="931"/>
      <c r="E41" s="932"/>
      <c r="F41" s="31"/>
      <c r="G41" s="901"/>
      <c r="H41" s="888"/>
      <c r="I41" s="888"/>
      <c r="J41" s="888"/>
      <c r="K41" s="888"/>
      <c r="L41" s="927"/>
    </row>
    <row r="42" spans="1:12" ht="16.5" customHeight="1">
      <c r="A42" s="903"/>
      <c r="B42" s="930"/>
      <c r="C42" s="931"/>
      <c r="D42" s="931"/>
      <c r="E42" s="932"/>
      <c r="F42" s="31"/>
      <c r="G42" s="901"/>
      <c r="H42" s="888"/>
      <c r="I42" s="888"/>
      <c r="J42" s="888"/>
      <c r="K42" s="888"/>
      <c r="L42" s="927"/>
    </row>
    <row r="43" spans="1:12" ht="16.5" customHeight="1" thickBot="1">
      <c r="A43" s="904"/>
      <c r="B43" s="933"/>
      <c r="C43" s="934"/>
      <c r="D43" s="934"/>
      <c r="E43" s="935"/>
      <c r="F43" s="31"/>
      <c r="G43" s="936"/>
      <c r="H43" s="919"/>
      <c r="I43" s="919"/>
      <c r="J43" s="919"/>
      <c r="K43" s="919"/>
      <c r="L43" s="928"/>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2019-05-20T07:24:19Z</dcterms:modified>
</cp:coreProperties>
</file>