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codeName="ThisWorkbook"/>
  <mc:AlternateContent xmlns:mc="http://schemas.openxmlformats.org/markup-compatibility/2006">
    <mc:Choice Requires="x15">
      <x15ac:absPath xmlns:x15ac="http://schemas.microsoft.com/office/spreadsheetml/2010/11/ac" url="F:\Documents\2. M&amp;E_TB\Progress Reports_TB_Grants\To CCM\Sem 2, 2017\"/>
    </mc:Choice>
  </mc:AlternateContent>
  <xr:revisionPtr revIDLastSave="0" documentId="10_ncr:8100000_{551A6D7A-8D3B-4B5C-AA66-3DF4A31307D5}" xr6:coauthVersionLast="32" xr6:coauthVersionMax="32" xr10:uidLastSave="{00000000-0000-0000-0000-000000000000}"/>
  <bookViews>
    <workbookView xWindow="0" yWindow="0" windowWidth="28800" windowHeight="11925" tabRatio="721" xr2:uid="{00000000-000D-0000-FFFF-FFFF00000000}"/>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uni"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Financiar!$A$2:$K$34</definedName>
    <definedName name="_xlnm.Print_Area" localSheetId="2">'Introducerea datelor'!$A$1:$S$150</definedName>
    <definedName name="_xlnm.Print_Area" localSheetId="5">Management!$A$1:$M$36</definedName>
    <definedName name="_xlnm.Print_Area" localSheetId="6">Programatic!$A$1:$Q$27</definedName>
    <definedName name="PrintA">Actiuni!$A$2:$L$34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Actiuni!$A$2:$L$6</definedName>
    <definedName name="PrintM">Management!$A$2:$L$35</definedName>
    <definedName name="PrintP">Programatic!$A$2:$P$27</definedName>
    <definedName name="PrintR">Recomandari!$A$2:$N$39</definedName>
    <definedName name="Rating">Setup!$G$9:$G$14</definedName>
    <definedName name="Round">Setup!$D$9:$D$21</definedName>
  </definedNames>
  <calcPr calcId="162913" refMode="R1C1"/>
</workbook>
</file>

<file path=xl/calcChain.xml><?xml version="1.0" encoding="utf-8"?>
<calcChain xmlns="http://schemas.openxmlformats.org/spreadsheetml/2006/main">
  <c r="H31" i="29" l="1"/>
  <c r="G25" i="37" l="1"/>
  <c r="G24" i="37"/>
  <c r="G23" i="37"/>
  <c r="D34" i="42" l="1"/>
  <c r="D19" i="42" l="1"/>
  <c r="K145" i="29" l="1"/>
  <c r="D23" i="42" l="1"/>
  <c r="H29" i="35" l="1"/>
  <c r="I29" i="35"/>
  <c r="K29" i="35"/>
  <c r="I30" i="35"/>
  <c r="K30" i="35"/>
  <c r="I31" i="35"/>
  <c r="K31" i="35"/>
  <c r="I32" i="35"/>
  <c r="K32" i="35"/>
  <c r="G72" i="29" l="1"/>
  <c r="G73" i="29"/>
  <c r="I146" i="29" l="1"/>
  <c r="D36" i="42" l="1"/>
  <c r="D37" i="42"/>
  <c r="D35"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9" i="42" l="1"/>
  <c r="C47" i="29" l="1"/>
  <c r="D47" i="29"/>
  <c r="Q3" i="37" l="1"/>
  <c r="B20" i="37" l="1"/>
  <c r="C4" i="37" l="1"/>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J30" i="35" s="1"/>
  <c r="E108" i="29"/>
  <c r="G108" i="29" s="1"/>
  <c r="I108" i="29" s="1"/>
  <c r="J29" i="35" s="1"/>
  <c r="E110" i="29"/>
  <c r="G110" i="29" s="1"/>
  <c r="I110" i="29" s="1"/>
  <c r="J31" i="35" s="1"/>
  <c r="E111" i="29"/>
  <c r="G111" i="29" s="1"/>
  <c r="I111" i="29" s="1"/>
  <c r="J32" i="35" s="1"/>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4" i="42"/>
  <c r="D13" i="42"/>
  <c r="B25" i="45"/>
  <c r="B23" i="45"/>
  <c r="B21" i="45"/>
  <c r="B20" i="45"/>
  <c r="B19" i="45"/>
  <c r="B11" i="45"/>
  <c r="B10" i="45"/>
  <c r="B9" i="45"/>
  <c r="B8" i="45"/>
  <c r="B4" i="37"/>
  <c r="B4" i="35"/>
  <c r="B4" i="30"/>
  <c r="E20" i="42"/>
  <c r="G12" i="27"/>
  <c r="H4" i="1"/>
  <c r="K150" i="29"/>
  <c r="K149" i="29"/>
  <c r="K148" i="29"/>
  <c r="K147" i="29"/>
  <c r="K146" i="29"/>
  <c r="C98" i="29"/>
  <c r="D98" i="29" s="1"/>
  <c r="E98" i="29" s="1"/>
  <c r="F98" i="29" s="1"/>
  <c r="G98" i="29" s="1"/>
  <c r="H98" i="29" s="1"/>
  <c r="I98" i="29" s="1"/>
  <c r="J98" i="29" s="1"/>
  <c r="K98" i="29" s="1"/>
  <c r="L98" i="29" s="1"/>
  <c r="M98" i="29" s="1"/>
  <c r="N98" i="29" s="1"/>
  <c r="K28" i="30"/>
  <c r="J28" i="30"/>
  <c r="E53" i="29"/>
  <c r="E52" i="29"/>
  <c r="B4" i="39"/>
  <c r="D5" i="39"/>
  <c r="E4" i="39"/>
  <c r="K5" i="39"/>
  <c r="J4" i="39"/>
  <c r="L3" i="39"/>
  <c r="J3" i="39"/>
  <c r="L5" i="42"/>
  <c r="L4" i="42"/>
  <c r="E5" i="42"/>
  <c r="E4" i="42"/>
  <c r="B4" i="42"/>
  <c r="M3" i="42"/>
  <c r="L3" i="42"/>
  <c r="E4" i="37"/>
  <c r="B25"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5" i="29"/>
  <c r="H148" i="29"/>
  <c r="H147" i="29"/>
  <c r="H146" i="29"/>
  <c r="H145" i="29"/>
  <c r="B23" i="37"/>
  <c r="B21" i="37"/>
  <c r="E55" i="29"/>
  <c r="B36" i="39"/>
  <c r="B34" i="39"/>
  <c r="E54" i="29"/>
  <c r="B36" i="35"/>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R29" i="29" l="1"/>
  <c r="C35" i="29"/>
  <c r="H25" i="35"/>
  <c r="B7" i="35"/>
  <c r="H7" i="35"/>
  <c r="H14" i="35"/>
  <c r="B14" i="35"/>
  <c r="H22" i="30"/>
  <c r="K109" i="29"/>
  <c r="L30" i="35" s="1"/>
  <c r="K110" i="29"/>
  <c r="L31" i="35" s="1"/>
  <c r="K111" i="29"/>
  <c r="L32" i="35" s="1"/>
  <c r="K108" i="29"/>
  <c r="L29" i="35" s="1"/>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F station</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2" authorId="1" shapeId="0" xr:uid="{00000000-0006-0000-0200-000002000000}">
      <text>
        <r>
          <rPr>
            <b/>
            <sz val="8"/>
            <color indexed="81"/>
            <rFont val="Tahoma"/>
            <family val="2"/>
            <charset val="204"/>
          </rPr>
          <t xml:space="preserve">If data are not available, do not enter zeros; rather, leave the cells in the table blank. </t>
        </r>
      </text>
    </comment>
    <comment ref="B73" authorId="1" shapeId="0" xr:uid="{00000000-0006-0000-0200-000003000000}">
      <text>
        <r>
          <rPr>
            <b/>
            <sz val="8"/>
            <color indexed="81"/>
            <rFont val="Tahoma"/>
            <family val="2"/>
            <charset val="204"/>
          </rPr>
          <t>If data are not available, do not enter zeros; rather, leave the cells in this table blank.</t>
        </r>
      </text>
    </comment>
    <comment ref="B79" authorId="0" shapeId="0" xr:uid="{00000000-0006-0000-0200-000004000000}">
      <text>
        <r>
          <rPr>
            <sz val="8"/>
            <color indexed="81"/>
            <rFont val="Tahoma"/>
            <family val="2"/>
            <charset val="204"/>
          </rPr>
          <t xml:space="preserve">If data are not available, do not enter zeros; rather, leave the cells in this table blank. </t>
        </r>
      </text>
    </comment>
    <comment ref="B94" authorId="0" shapeId="0" xr:uid="{00000000-0006-0000-0200-000005000000}">
      <text>
        <r>
          <rPr>
            <sz val="8"/>
            <color indexed="81"/>
            <rFont val="Tahoma"/>
            <family val="2"/>
            <charset val="204"/>
          </rPr>
          <t>To define your periods (eg. P1, P2, P3 etc or P9, P10, P11 etc) you need to unprotect the cells.</t>
        </r>
      </text>
    </comment>
    <comment ref="N130" authorId="2" shapeId="0" xr:uid="{00000000-0006-0000-0200-00000600000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xr:uid="{00000000-0006-0000-0200-00000700000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xr:uid="{00000000-0006-0000-0200-00000800000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<sst xmlns="http://schemas.openxmlformats.org/spreadsheetml/2006/main" count="642" uniqueCount="532">
  <si>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</si>
  <si>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</si>
  <si>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</si>
  <si>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</si>
  <si>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</si>
  <si>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t>
  </si>
  <si>
    <t>Round 9</t>
  </si>
  <si>
    <t>Phase 2</t>
  </si>
  <si>
    <t>Round 1</t>
  </si>
  <si>
    <t>Phase 1</t>
  </si>
  <si>
    <t>$</t>
  </si>
  <si>
    <t>Round 2</t>
  </si>
  <si>
    <t>to:</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</si>
  <si>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</si>
  <si>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</si>
  <si>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</si>
  <si>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</si>
  <si>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</si>
  <si>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</si>
  <si>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</si>
  <si>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</si>
  <si>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</si>
  <si>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</si>
  <si>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</si>
  <si>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</si>
  <si>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</si>
  <si>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</si>
  <si>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</si>
  <si>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</si>
  <si>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</si>
  <si>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</si>
  <si>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</si>
  <si>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</si>
  <si>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</si>
  <si>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</si>
  <si>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</si>
  <si>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</si>
  <si>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</si>
  <si>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</si>
  <si>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</si>
  <si>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</si>
  <si>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</si>
  <si>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</si>
  <si>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</si>
  <si>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</si>
  <si>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</si>
  <si>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</si>
  <si>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</si>
  <si>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</si>
  <si>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</si>
  <si>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</si>
  <si>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</si>
  <si>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</si>
  <si>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</si>
  <si>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</si>
  <si>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</si>
  <si>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</si>
  <si>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</si>
  <si>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</si>
  <si>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</si>
  <si>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</si>
  <si>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</si>
  <si>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</si>
  <si>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</si>
  <si>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</si>
  <si>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</si>
  <si>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</si>
  <si>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</si>
  <si>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</si>
  <si>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</si>
  <si>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</si>
  <si>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</si>
  <si>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</si>
  <si>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</si>
  <si>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</si>
  <si>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</si>
  <si>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</si>
  <si>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</si>
  <si>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</si>
  <si>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</si>
  <si>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</si>
  <si>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</si>
  <si>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</si>
  <si>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</si>
  <si>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</si>
  <si>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</si>
  <si>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</si>
  <si>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</si>
  <si>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</si>
  <si>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</si>
  <si>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</si>
  <si>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</si>
  <si>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</si>
  <si>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</si>
  <si>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</si>
  <si>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</si>
  <si>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</si>
  <si>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</si>
  <si>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</si>
  <si>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</si>
  <si>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</si>
  <si>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</si>
  <si>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</si>
  <si>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</si>
  <si>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</si>
  <si>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</si>
  <si>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</si>
  <si>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</si>
  <si>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</si>
  <si>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</si>
  <si>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</si>
  <si>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</si>
  <si>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</si>
  <si>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</si>
  <si>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</si>
  <si>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</si>
  <si>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</si>
  <si>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</si>
  <si>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</si>
  <si>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</si>
  <si>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</si>
  <si>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</si>
  <si>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</si>
  <si>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</si>
  <si>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</si>
  <si>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</si>
  <si>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</si>
  <si>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</si>
  <si>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</si>
  <si>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</si>
  <si>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</si>
  <si>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</si>
  <si>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</si>
  <si>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</si>
  <si>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</si>
  <si>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</si>
  <si>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</si>
  <si>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</si>
  <si>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</si>
  <si>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</si>
  <si>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</si>
  <si>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</si>
  <si>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</si>
  <si>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</si>
  <si>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</si>
  <si>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</si>
  <si>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</si>
  <si>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</si>
  <si>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</si>
  <si>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</si>
  <si>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</si>
  <si>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</si>
  <si>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</si>
  <si>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</si>
  <si>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</si>
  <si>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</si>
  <si>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</si>
  <si>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</si>
  <si>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</si>
  <si>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</si>
  <si>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</si>
  <si>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</si>
  <si>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</si>
  <si>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</si>
  <si>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</si>
  <si>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</si>
  <si>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</si>
  <si>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</si>
  <si>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</si>
  <si>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</si>
  <si>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</si>
  <si>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</si>
  <si>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</si>
  <si>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</si>
  <si>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</si>
  <si>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</si>
  <si>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</si>
  <si>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</si>
  <si>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</si>
  <si>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</si>
  <si>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</si>
  <si>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</si>
  <si>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</si>
  <si>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</si>
  <si>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</si>
  <si>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</si>
  <si>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</si>
  <si>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</si>
  <si>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</si>
  <si>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</si>
  <si>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</si>
  <si>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</si>
  <si>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</si>
  <si>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</si>
  <si>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</si>
  <si>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</si>
  <si>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</si>
  <si>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</si>
  <si>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</si>
  <si>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</si>
  <si>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</si>
  <si>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</si>
  <si>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</si>
  <si>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</si>
  <si>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</si>
  <si>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</si>
  <si>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</si>
  <si>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</si>
  <si>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</si>
  <si>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</si>
  <si>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</si>
  <si>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</si>
  <si>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</si>
  <si>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</si>
  <si>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</si>
  <si>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</si>
  <si>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</si>
  <si>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</si>
  <si>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</si>
  <si>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</si>
  <si>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</si>
  <si>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</si>
  <si>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</si>
  <si>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</si>
  <si>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</si>
  <si>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</si>
  <si>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</si>
  <si>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</si>
  <si>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</si>
  <si>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</si>
  <si>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</si>
  <si>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</si>
  <si>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</si>
  <si>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</si>
  <si>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</si>
  <si>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</si>
  <si>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</si>
  <si>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</si>
  <si>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</si>
  <si>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</si>
  <si>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</si>
  <si>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</si>
  <si>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</si>
  <si>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</si>
  <si>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</si>
  <si>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</si>
  <si>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</si>
  <si>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</si>
  <si>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</si>
  <si>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</si>
  <si>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</si>
  <si>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</si>
  <si>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</si>
  <si>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</si>
  <si>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 xml:space="preserve">Last fund disbursement: Calendar days </t>
  </si>
  <si>
    <t>E-PAP</t>
  </si>
  <si>
    <t>Al/Lum</t>
  </si>
  <si>
    <t>TB nutri'l supplements</t>
  </si>
  <si>
    <t>P1 - trend</t>
  </si>
  <si>
    <t>P2 - trend</t>
  </si>
  <si>
    <t>P3 - trend</t>
  </si>
  <si>
    <t>Set-up = List of validation for Grant Detail page</t>
  </si>
  <si>
    <t>Phase:</t>
  </si>
  <si>
    <t>Grant No.</t>
  </si>
  <si>
    <t>Difference between current stock and safety stock</t>
  </si>
  <si>
    <t>Months of safety stock</t>
  </si>
  <si>
    <t>0% - 59%</t>
  </si>
  <si>
    <t>60% - 89%</t>
  </si>
  <si>
    <t>&gt; 90%</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</si>
  <si>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</si>
  <si>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</si>
  <si>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</si>
  <si>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</si>
  <si>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</si>
  <si>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</si>
  <si>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</si>
  <si>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</si>
  <si>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</si>
  <si>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</si>
  <si>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</si>
  <si>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</si>
  <si>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</si>
  <si>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</si>
  <si>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</si>
  <si>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</si>
  <si>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</si>
  <si>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</si>
  <si>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</si>
  <si>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</si>
  <si>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Please Select</t>
  </si>
  <si>
    <t>TOP 3</t>
  </si>
  <si>
    <t>SSR to SR</t>
  </si>
  <si>
    <t>SRs to PR</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</si>
  <si>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</si>
  <si>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</si>
  <si>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</si>
  <si>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</si>
  <si>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</si>
  <si>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</si>
  <si>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</si>
  <si>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</si>
  <si>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</si>
  <si>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</si>
  <si>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</si>
  <si>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</si>
  <si>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</si>
  <si>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</si>
  <si>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</si>
  <si>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</si>
  <si>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</si>
  <si>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</si>
  <si>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</si>
  <si>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</si>
  <si>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</si>
  <si>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</si>
  <si>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</si>
  <si>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</si>
  <si>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</si>
  <si>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</si>
  <si>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</si>
  <si>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</si>
  <si>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</si>
  <si>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</si>
  <si>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</si>
  <si>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</si>
  <si>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</si>
  <si>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</si>
  <si>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</si>
  <si>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</si>
  <si>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</si>
  <si>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</si>
  <si>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</si>
  <si>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</si>
  <si>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</si>
  <si>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</si>
  <si>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</si>
  <si>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</si>
  <si>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</si>
  <si>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</si>
  <si>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</si>
  <si>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</si>
  <si>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</si>
  <si>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</si>
  <si>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</si>
  <si>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</si>
  <si>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</si>
  <si>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</si>
  <si>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</si>
  <si>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</si>
  <si>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</si>
  <si>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</si>
  <si>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</si>
  <si>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</si>
  <si>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</si>
  <si>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</si>
  <si>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</si>
  <si>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</si>
  <si>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</si>
  <si>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</si>
  <si>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</si>
  <si>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</si>
  <si>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</si>
  <si>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</si>
  <si>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</si>
  <si>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</si>
  <si>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</si>
  <si>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</si>
  <si>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</si>
  <si>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</si>
  <si>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</si>
  <si>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</si>
  <si>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</si>
  <si>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</si>
  <si>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</si>
  <si>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</si>
  <si>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</si>
  <si>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</si>
  <si>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</si>
  <si>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</si>
  <si>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</si>
  <si>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</si>
  <si>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</si>
  <si>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</si>
  <si>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</si>
  <si>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</si>
  <si>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</si>
  <si>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</si>
  <si>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</si>
  <si>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</si>
  <si>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</si>
  <si>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</si>
  <si>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</si>
  <si>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</si>
  <si>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</si>
  <si>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</si>
  <si>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</si>
  <si>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</si>
  <si>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</si>
  <si>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</si>
  <si>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</si>
  <si>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</si>
  <si>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</si>
  <si>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</si>
  <si>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</si>
  <si>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</si>
  <si>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</si>
  <si>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</si>
  <si>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</si>
  <si>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</si>
  <si>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</si>
  <si>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</si>
  <si>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</si>
  <si>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</si>
  <si>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</si>
  <si>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</si>
  <si>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</si>
  <si>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</si>
  <si>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</si>
  <si>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</si>
  <si>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</si>
  <si>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</si>
  <si>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</si>
  <si>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</si>
  <si>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</si>
  <si>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</si>
  <si>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</si>
  <si>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</si>
  <si>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</si>
  <si>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</si>
  <si>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</si>
  <si>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</si>
  <si>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</si>
  <si>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</si>
  <si>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</si>
  <si>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</si>
  <si>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</si>
  <si>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</si>
  <si>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 xml:space="preserve">Fortificarea controlului infecției HIV în RM (2015-2017)
</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</si>
  <si>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</si>
  <si>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</si>
  <si>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</si>
  <si>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</si>
  <si>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</si>
  <si>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</si>
  <si>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</si>
  <si>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</si>
  <si>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</si>
  <si>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</si>
  <si>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</si>
  <si>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</si>
  <si>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</si>
  <si>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</si>
  <si>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</si>
  <si>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</si>
  <si>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</si>
  <si>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≧85%</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</si>
  <si>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</si>
  <si>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</si>
  <si>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</si>
  <si>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</si>
  <si>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</si>
  <si>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</si>
  <si>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</si>
  <si>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</si>
  <si>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Cod</t>
  </si>
  <si>
    <t>Comentarii:</t>
  </si>
  <si>
    <t xml:space="preserve">Comentarii: </t>
  </si>
  <si>
    <t>Nu au fost inregistrate lipsuri de medicamente ARV sau intreruperi de tratament.</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</si>
  <si>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</si>
  <si>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</si>
  <si>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</si>
  <si>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</si>
  <si>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</si>
  <si>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</si>
  <si>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Sunt suplinite toate functiile de personal.</t>
  </si>
  <si>
    <t>Recomandari</t>
  </si>
  <si>
    <t>Sunt fondurile valorificate in conformitate cu bugetul?</t>
  </si>
  <si>
    <t xml:space="preserve">Sumarul Comentariilor </t>
  </si>
  <si>
    <t>Financiar</t>
  </si>
  <si>
    <t>Sunt achizitiile si recrutarea in conformitate cu graficul stabilit?</t>
  </si>
  <si>
    <t>Sunt tintele programatice atinse?</t>
  </si>
  <si>
    <t>Sumarul Comentariilor</t>
  </si>
  <si>
    <t xml:space="preserve">Care este statutul general al implementarii grantului? </t>
  </si>
  <si>
    <t xml:space="preserve">Decizii si actiuni </t>
  </si>
  <si>
    <t>Indicatori programatici</t>
  </si>
  <si>
    <t>Decizia CNC</t>
  </si>
  <si>
    <t>Recomandarile cheie de la grupurile de supervizare</t>
  </si>
  <si>
    <t>Perioada de raportare curenta</t>
  </si>
  <si>
    <t>Termen limita</t>
  </si>
  <si>
    <t>Persoana responsabila</t>
  </si>
  <si>
    <t>Actiuni spre implementar / Perioada Precedenta</t>
  </si>
  <si>
    <t xml:space="preserve">Actiuni intreprinse </t>
  </si>
  <si>
    <t>Data</t>
  </si>
  <si>
    <t xml:space="preserve">Persoana Responsabila </t>
  </si>
  <si>
    <t>Perioada de raportare precedenta</t>
  </si>
  <si>
    <t>Nr. Grantului :</t>
  </si>
  <si>
    <t>IP "UCIMP DS"</t>
  </si>
  <si>
    <t>Managerul de Portfoliu al Fondului:</t>
  </si>
  <si>
    <t xml:space="preserve">Informatia financiara: </t>
  </si>
  <si>
    <t>Tara:</t>
  </si>
  <si>
    <t>Perioada de raportare:</t>
  </si>
  <si>
    <t>Agentul Local al Fondului:</t>
  </si>
  <si>
    <t>Elaborat de:</t>
  </si>
  <si>
    <t>Data demararii:</t>
  </si>
  <si>
    <t>Recipient Principal:</t>
  </si>
  <si>
    <t>Total Finantare</t>
  </si>
  <si>
    <t>Managerul de Portofoliu al Fondului:</t>
  </si>
  <si>
    <t>Data elaborarii raportului:</t>
  </si>
  <si>
    <t>* Include numai AFR categoriile 4, 5 și 6  (Produse medicale și Echipamente medicale &amp; Medicamente și Produse farmaceutice)</t>
  </si>
  <si>
    <t>Tsovinar Sakanyan</t>
  </si>
  <si>
    <t>007   Reprogramare 2017 - activitati noi</t>
  </si>
  <si>
    <t>Utilizarea dobanzii</t>
  </si>
  <si>
    <t>P2 (Q3-4.2015)</t>
  </si>
  <si>
    <r>
      <t>P1</t>
    </r>
    <r>
      <rPr>
        <b/>
        <sz val="11"/>
        <rFont val="Calibri"/>
        <family val="2"/>
        <charset val="204"/>
      </rPr>
      <t xml:space="preserve"> (Q1-2.2015</t>
    </r>
    <r>
      <rPr>
        <b/>
        <sz val="11"/>
        <color indexed="8"/>
        <rFont val="Calibri"/>
        <family val="2"/>
      </rPr>
      <t>)</t>
    </r>
  </si>
  <si>
    <t>P3 (Q1-2 2016)</t>
  </si>
  <si>
    <t>P4 (Q3-4 2016)</t>
  </si>
  <si>
    <t>P5 (Q1-2 2017)</t>
  </si>
  <si>
    <r>
      <t>Descriere: În cazul IP UCIMPDS a fost stabilită acțiunea de management care condiționează deblocarea si posibilitatea valorificarii fondurilor alocate operaționalizării sistemului informațional SIME HIV de</t>
    </r>
    <r>
      <rPr>
        <b/>
        <sz val="8"/>
        <color indexed="8"/>
        <rFont val="Calibri"/>
        <family val="2"/>
        <charset val="204"/>
      </rPr>
      <t xml:space="preserve"> înregistrarea SIME HIV în Registrul sistemelor informationale utilizate la prelucrarea datelor cu caracter personal</t>
    </r>
    <r>
      <rPr>
        <sz val="8"/>
        <color indexed="8"/>
        <rFont val="Calibri"/>
        <family val="2"/>
      </rPr>
      <t>,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t>
    </r>
  </si>
  <si>
    <t>117 din cele 125 femei infectate cu HIV care au nascut in semestrul II 2017 au beneficiat de TARV in vederea reducerii riscului de transmitere materno-fetala a infectiei (93.6%). Nivelul de realizare a tintei - 99%.</t>
  </si>
  <si>
    <t>5.162 adulti si copii erau in TARV la finele anului 2017, inclusiv 3.640 - pe malul drept si 1.522 - in Transnistria. Nivelul de realizare a tintei - 85%.</t>
  </si>
  <si>
    <t xml:space="preserve">Indicatorul este pentru a. 2017, raportabil catre 15.08.2018.
</t>
  </si>
  <si>
    <t>Indicatorul este pentru a. 2017, raportabil catre 15.08.2018.</t>
  </si>
  <si>
    <t>Din cei 127 copii nascuti de femei HIV+ care au atins varsta de 2 luni pe parcursul semestrului II 2017 (i.e. nascuti in perioada 01.05.2017 - 01.11.2017), 120 au fost testati la HIV in primele 2 luni de la nastere.</t>
  </si>
  <si>
    <t xml:space="preserve">117 din cele 125 femei infectate cu HIV care au nascut in semestrul II 2017 au beneficiat de TARV in vederea reducerii riscului de transmitere materno-fetala a infectiei (93.6%). Nivelul de realizare a tintei - 99%.
Dezagregarea indicatorului pe tip de regim este urmatoarea: 
- TARV pe viata inclusiv optiunea B+ (nou-initiate pe parcursul perioadei curente de sarcina): 40.2% (47/117)                                                                                                                 - TARV pe viata inclusiv optiunea B + (deja in TARV la inceputul sarcinii curente): 58.1% (38/117)                                                                                                       
- Doza singulara de NVP (profilaxia de urgenta, in nastere): 1.7% (2/117) 
                                                                                                                                                                               Copii nascuti de femei HIV+ primesc TARV profilactic si formula de lapte praf timp de 12 luni. 
Activitatile ce tin de acest indicator sunt partial sustinute din Grantul curent. </t>
  </si>
  <si>
    <t>Numărul pacienților în terapie ARV la 31.12.2017 a fost de 5.162 dintre care: 3.640 - pe malul drept (3.545 adulți și 95 copii (&lt;15 ani), 1.848 bărbați și 1.792 femei) și 1.522 persoane - pe malul stâng al Nistrului, inclusiv 1.487 adulți și 35 copii, 737 bărbați și 785 femei.    
In pofida inrolarii primare in TARV a 879 pacienti pe parcursul a. 2017, regretabil, pe malul drept, aderenta la tratament ramine a fi joasa: 324 de pacienti au abandonat TARV in 2017 și 132 au decedat, inclusiv din cauza depistarii tardive. 
Activitatile in cadrul acestui indicator sunt partial acoperite de Grantul FG.</t>
  </si>
  <si>
    <t>Pe parcursul anului 2017, 290 din cei 879 PTHS inrolati primar in TARV   au initiat tratamentul antiretroviral cu nivelul de celule CD4 mai mic de 200 celule/mm3, inclusiv 174 barbati si 116 femei, 221 - pe malul drept si 69 - pe malul sting.  
Dezagregare:
- Bărbați:  35,7% (174/487)
- Femei:   29,6% (116/392)</t>
  </si>
  <si>
    <t xml:space="preserve">2.484 persoane infectate cu HIV (2.404 adulti si 80 copii) aveau incarcatura virala nedetectabila (&lt; 1000 copii/ml) dupa 12 luni de la initierea terapiei antiretrovirale, inclusiv 1.408 - pe malul drept si 1.076 - in Transnistria. </t>
  </si>
  <si>
    <t>A 2</t>
  </si>
  <si>
    <t xml:space="preserve">Către 31 decembrie 2017, din Grantul „Fortificarea Controlului HIV în Republica Moldova al Fondului Global (nr.: MDA-H-PCIMU) au fost valorificați cumulativ 3.502.234 EUR, ceea ce constituie 109% din totalul de 3.212.688 EUR planificați pentru perioada ianuarie 2015 – decembrie 2017 (perioada grantului implementat prin Noul Mecanism de Finanțare al Fondului Global).  Variația totală de 289,546 EUR fiind în special condiționată de supracheltuieli cu realizarea angajamentelor din faza II a grantului consolidat din soldul ramas din grantul anterior. 
   </t>
  </si>
  <si>
    <t xml:space="preserve">Raportul de Progres privind implementarea grantului NFM in Semestrul II 2016 a fost remis Fondului Global  spre examinare si aprobare la data de 22 martie 2017 (perioada de prezentare a PUDR a fost extinsă în legătură cu modificarea, de către organizația donatoare, a formelor de raportare). </t>
  </si>
  <si>
    <t xml:space="preserve">Preparatele ARV pentru a. 2017 si 6 luni ale a. 2018 au fost livrarte conform graficului stabiliti. Aparatele aditionale GeneXpert pentru testarea pacientilor la incarcatura virala, au fost livrate în trimestrul IV a.c. Reagentii necesari acoperirii necesitatilor a. 2017 privind monitorizarea pacientilor infectati cu HIV au fost achizitionati, livrarile fiind efectuate in termenii solicitati de institutiile beneficiare. </t>
  </si>
  <si>
    <t>Implementarea Grantului este, in linii generale, in conformitate cu planul de lucru, mai putin in ce priveste implementarea sistemului informational SIME HIV, conditionat de problemele legate de înregistrarea IMSP SDMC în calitate de operator al bazei de date și înregistrarea SIME HIV în Registrul produselor-program utilizate la prelucrarea datelor cu caracter personal, în conformitate cu prevederile Legislației în vigoare. Ultimul rating acordat de FG (perioada S II 2017) este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</si>
</sst>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 numFmtId="175" formatCode="0.0%"/>
    <numFmt numFmtId="176" formatCode="[$-409]d\-mmm\-yy;@"/>
  </numFmts>
  <fonts count="167">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
      <b/>
      <sz val="8"/>
      <color indexed="8"/>
      <name val="Calibri"/>
      <family val="2"/>
      <charset val="204"/>
    </font>
    <font>
      <sz val="9"/>
      <color indexed="8"/>
      <name val="Arial Black"/>
      <family val="2"/>
    </font>
    <font>
      <sz val="9"/>
      <color theme="1"/>
      <name val="Calibri"/>
      <family val="2"/>
      <scheme val="minor"/>
    </font>
    <font>
      <b/>
      <sz val="11"/>
      <name val="Calibri"/>
      <family val="2"/>
      <charset val="204"/>
    </font>
    <font>
      <sz val="10"/>
      <color rgb="FFFF0000"/>
      <name val="Arial"/>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8" fillId="0" borderId="0"/>
    <xf numFmtId="164" fontId="138" fillId="0" borderId="0"/>
    <xf numFmtId="164" fontId="138" fillId="0" borderId="0"/>
    <xf numFmtId="164" fontId="138"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38"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8" fillId="0" borderId="9" applyNumberFormat="0" applyFill="0" applyAlignment="0" applyProtection="0"/>
    <xf numFmtId="0" fontId="76" fillId="0" borderId="0" applyNumberFormat="0" applyFill="0" applyBorder="0" applyAlignment="0" applyProtection="0"/>
  </cellStyleXfs>
  <cellXfs count="1011">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38" fillId="0" borderId="0" xfId="49" applyProtection="1"/>
    <xf numFmtId="164" fontId="15" fillId="0" borderId="0" xfId="49" applyFont="1" applyProtection="1"/>
    <xf numFmtId="0" fontId="18" fillId="0" borderId="0" xfId="49" applyNumberFormat="1" applyFont="1" applyBorder="1" applyProtection="1"/>
    <xf numFmtId="164" fontId="138" fillId="0" borderId="0" xfId="51" applyProtection="1"/>
    <xf numFmtId="164" fontId="138" fillId="0" borderId="0" xfId="51" applyFill="1" applyBorder="1" applyAlignment="1" applyProtection="1">
      <alignment horizontal="left"/>
    </xf>
    <xf numFmtId="0" fontId="0" fillId="0" borderId="0" xfId="0" applyFill="1" applyBorder="1" applyProtection="1"/>
    <xf numFmtId="164" fontId="138"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38"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38"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38"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99" fillId="0" borderId="0" xfId="28" applyFont="1" applyFill="1" applyBorder="1" applyProtection="1"/>
    <xf numFmtId="164" fontId="0" fillId="0" borderId="0" xfId="0" applyNumberFormat="1" applyFill="1" applyBorder="1" applyProtection="1"/>
    <xf numFmtId="164" fontId="68" fillId="0" borderId="28" xfId="61" applyFont="1" applyFill="1" applyBorder="1" applyAlignment="1" applyProtection="1"/>
    <xf numFmtId="164"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5" xfId="0" applyNumberFormat="1" applyFont="1" applyFill="1" applyBorder="1" applyAlignment="1" applyProtection="1">
      <alignment vertical="center"/>
    </xf>
    <xf numFmtId="164" fontId="138"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164" fontId="92" fillId="0" borderId="28" xfId="61" applyFont="1" applyFill="1" applyBorder="1" applyAlignment="1" applyProtection="1"/>
    <xf numFmtId="164"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164"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1" fillId="0" borderId="0" xfId="0" applyFont="1" applyFill="1" applyBorder="1" applyAlignment="1" applyProtection="1">
      <alignment horizontal="right"/>
    </xf>
    <xf numFmtId="164" fontId="102" fillId="0" borderId="14" xfId="61"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1" xfId="0" applyFont="1" applyBorder="1" applyAlignment="1" applyProtection="1">
      <alignment horizontal="right"/>
    </xf>
    <xf numFmtId="164" fontId="112" fillId="0" borderId="0" xfId="39"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1" fillId="0" borderId="0" xfId="0" applyNumberFormat="1" applyFont="1" applyFill="1" applyBorder="1" applyAlignment="1" applyProtection="1">
      <alignment horizontal="center"/>
    </xf>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15" fontId="109" fillId="0" borderId="42" xfId="0" applyNumberFormat="1" applyFont="1" applyFill="1" applyBorder="1" applyAlignment="1" applyProtection="1">
      <alignment horizontal="center" wrapText="1"/>
    </xf>
    <xf numFmtId="15" fontId="109"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164" fontId="114" fillId="0" borderId="20" xfId="61" applyFont="1" applyFill="1" applyBorder="1" applyAlignment="1" applyProtection="1">
      <alignment vertical="center"/>
    </xf>
    <xf numFmtId="164"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164"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1"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8" xfId="0" applyFill="1" applyBorder="1" applyProtection="1"/>
    <xf numFmtId="164" fontId="115"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164"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2"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164"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164"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1" fontId="21" fillId="20" borderId="0" xfId="0" applyNumberFormat="1" applyFont="1" applyFill="1"/>
    <xf numFmtId="171"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164" fontId="35" fillId="0" borderId="0" xfId="0" applyNumberFormat="1" applyFont="1"/>
    <xf numFmtId="0" fontId="0" fillId="0" borderId="0" xfId="0" applyBorder="1" applyAlignment="1">
      <alignment horizontal="left"/>
    </xf>
    <xf numFmtId="164" fontId="1" fillId="0" borderId="43" xfId="58" applyFont="1" applyBorder="1" applyAlignment="1" applyProtection="1">
      <alignment horizontal="right"/>
    </xf>
    <xf numFmtId="164" fontId="123"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164" fontId="39" fillId="24" borderId="90" xfId="61" applyFont="1" applyFill="1" applyBorder="1" applyAlignment="1" applyProtection="1">
      <alignment horizontal="center" vertical="center"/>
    </xf>
    <xf numFmtId="164"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168" fontId="0" fillId="0" borderId="10" xfId="0" applyNumberFormat="1" applyFill="1" applyBorder="1" applyAlignment="1" applyProtection="1">
      <alignment horizontal="center"/>
    </xf>
    <xf numFmtId="168" fontId="15" fillId="27" borderId="95" xfId="0" applyNumberFormat="1" applyFont="1" applyFill="1" applyBorder="1" applyAlignment="1" applyProtection="1">
      <alignment horizontal="center"/>
    </xf>
    <xf numFmtId="168"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5" fontId="14" fillId="19" borderId="106" xfId="0" applyNumberFormat="1" applyFont="1" applyFill="1" applyBorder="1" applyAlignment="1" applyProtection="1">
      <alignment horizontal="center"/>
      <protection locked="0"/>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68" xfId="0" applyNumberFormat="1" applyFill="1" applyBorder="1" applyAlignment="1" applyProtection="1">
      <alignment horizontal="center"/>
    </xf>
    <xf numFmtId="168"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0" fillId="0" borderId="68" xfId="0" applyNumberFormat="1" applyFill="1" applyBorder="1" applyProtection="1"/>
    <xf numFmtId="3" fontId="0" fillId="0" borderId="68" xfId="0" applyNumberFormat="1" applyFill="1" applyBorder="1" applyProtection="1"/>
    <xf numFmtId="168"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8" fontId="0" fillId="0" borderId="58" xfId="0" applyNumberFormat="1" applyFill="1" applyBorder="1" applyProtection="1"/>
    <xf numFmtId="168"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39" fillId="22" borderId="29" xfId="0" applyFont="1" applyFill="1" applyBorder="1" applyAlignment="1">
      <alignment horizontal="justify" vertical="center" wrapText="1"/>
    </xf>
    <xf numFmtId="0" fontId="140" fillId="22" borderId="46" xfId="0" applyFont="1" applyFill="1" applyBorder="1" applyAlignment="1">
      <alignment horizontal="justify" vertical="center" wrapText="1"/>
    </xf>
    <xf numFmtId="0" fontId="140" fillId="22" borderId="47" xfId="0" applyFont="1" applyFill="1" applyBorder="1" applyAlignment="1">
      <alignment horizontal="justify" vertical="center" wrapText="1"/>
    </xf>
    <xf numFmtId="0" fontId="139" fillId="22" borderId="29" xfId="0" applyFont="1" applyFill="1" applyBorder="1" applyAlignment="1">
      <alignment horizontal="left" vertical="center" wrapText="1"/>
    </xf>
    <xf numFmtId="0" fontId="139" fillId="22" borderId="46" xfId="0" applyFont="1" applyFill="1" applyBorder="1" applyAlignment="1">
      <alignment horizontal="left" vertical="center" wrapText="1"/>
    </xf>
    <xf numFmtId="0" fontId="139" fillId="22" borderId="47" xfId="0" applyFont="1" applyFill="1" applyBorder="1" applyAlignment="1">
      <alignment horizontal="left" vertical="center" wrapText="1"/>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1" fillId="0" borderId="10" xfId="0" applyFont="1" applyFill="1" applyBorder="1" applyAlignment="1" applyProtection="1">
      <alignment horizontal="center"/>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2"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1" fillId="23" borderId="10" xfId="0" applyNumberFormat="1" applyFont="1" applyFill="1" applyBorder="1" applyAlignment="1" applyProtection="1">
      <alignment horizontal="center" vertical="center"/>
      <protection locked="0"/>
    </xf>
    <xf numFmtId="174" fontId="151" fillId="28" borderId="10" xfId="0" applyNumberFormat="1" applyFont="1" applyFill="1" applyBorder="1" applyAlignment="1" applyProtection="1">
      <alignment horizontal="center" vertical="center"/>
      <protection locked="0"/>
    </xf>
    <xf numFmtId="3" fontId="151"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4"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2" fillId="28" borderId="10" xfId="0" applyNumberFormat="1" applyFont="1" applyFill="1" applyBorder="1" applyAlignment="1" applyProtection="1">
      <alignment horizontal="center" vertical="center"/>
      <protection locked="0"/>
    </xf>
    <xf numFmtId="3" fontId="151"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3" fillId="0" borderId="0" xfId="0" applyFont="1" applyFill="1" applyAlignment="1" applyProtection="1">
      <alignment horizontal="right"/>
    </xf>
    <xf numFmtId="0" fontId="0" fillId="0" borderId="0" xfId="0" applyFill="1" applyProtection="1"/>
    <xf numFmtId="0" fontId="12" fillId="0" borderId="0" xfId="0" applyFont="1" applyFill="1"/>
    <xf numFmtId="0" fontId="141"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1" fillId="22" borderId="10" xfId="0" applyNumberFormat="1" applyFont="1" applyFill="1" applyBorder="1" applyAlignment="1" applyProtection="1">
      <alignment horizontal="center" vertical="center"/>
      <protection locked="0"/>
    </xf>
    <xf numFmtId="2" fontId="151"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164" fontId="138" fillId="0" borderId="175" xfId="61" applyFill="1" applyBorder="1" applyAlignment="1" applyProtection="1">
      <alignment vertical="center"/>
    </xf>
    <xf numFmtId="175" fontId="67" fillId="28" borderId="10" xfId="0" applyNumberFormat="1" applyFont="1" applyFill="1" applyBorder="1" applyAlignment="1" applyProtection="1">
      <alignment vertical="center"/>
      <protection locked="0"/>
    </xf>
    <xf numFmtId="175" fontId="151" fillId="28" borderId="10" xfId="0" applyNumberFormat="1" applyFont="1" applyFill="1" applyBorder="1" applyAlignment="1" applyProtection="1">
      <alignment vertical="center"/>
      <protection locked="0"/>
    </xf>
    <xf numFmtId="175" fontId="67" fillId="23" borderId="10" xfId="0" applyNumberFormat="1" applyFont="1" applyFill="1" applyBorder="1" applyAlignment="1" applyProtection="1">
      <alignment horizontal="right" vertical="center"/>
      <protection locked="0"/>
    </xf>
    <xf numFmtId="175" fontId="151" fillId="23" borderId="10" xfId="0" applyNumberFormat="1" applyFont="1" applyFill="1" applyBorder="1" applyAlignment="1" applyProtection="1">
      <alignment vertical="center"/>
      <protection locked="0"/>
    </xf>
    <xf numFmtId="175" fontId="151" fillId="23" borderId="10" xfId="0" applyNumberFormat="1" applyFont="1" applyFill="1" applyBorder="1" applyAlignment="1" applyProtection="1">
      <alignment horizontal="right" vertical="center"/>
      <protection locked="0"/>
    </xf>
    <xf numFmtId="175" fontId="28" fillId="0" borderId="10" xfId="0" applyNumberFormat="1" applyFont="1" applyBorder="1" applyAlignment="1" applyProtection="1">
      <alignment horizontal="center" vertical="center" wrapText="1"/>
    </xf>
    <xf numFmtId="175" fontId="67" fillId="23" borderId="10" xfId="0" applyNumberFormat="1" applyFont="1" applyFill="1" applyBorder="1" applyAlignment="1" applyProtection="1">
      <alignment horizontal="center" vertical="center"/>
      <protection locked="0"/>
    </xf>
    <xf numFmtId="175" fontId="151" fillId="23" borderId="10" xfId="0" applyNumberFormat="1" applyFont="1" applyFill="1" applyBorder="1" applyAlignment="1" applyProtection="1">
      <alignment horizontal="center" vertical="center"/>
      <protection locked="0"/>
    </xf>
    <xf numFmtId="175" fontId="151" fillId="28" borderId="10" xfId="0" applyNumberFormat="1" applyFont="1" applyFill="1" applyBorder="1" applyAlignment="1" applyProtection="1">
      <alignment horizontal="center" vertical="center"/>
      <protection locked="0"/>
    </xf>
    <xf numFmtId="176" fontId="1" fillId="0" borderId="10" xfId="58" applyNumberFormat="1" applyFont="1" applyFill="1" applyBorder="1" applyAlignment="1" applyProtection="1">
      <alignment horizontal="center"/>
      <protection locked="0"/>
    </xf>
    <xf numFmtId="165" fontId="161"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5"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5"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vertical="center"/>
      <protection locked="0"/>
    </xf>
    <xf numFmtId="175" fontId="151"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1" fillId="0" borderId="0" xfId="0" applyNumberFormat="1" applyFont="1" applyFill="1" applyBorder="1" applyAlignment="1" applyProtection="1">
      <alignment horizontal="right" vertical="center"/>
      <protection locked="0"/>
    </xf>
    <xf numFmtId="174"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horizontal="center" vertical="center"/>
      <protection locked="0"/>
    </xf>
    <xf numFmtId="175" fontId="67" fillId="0" borderId="0" xfId="0" applyNumberFormat="1" applyFont="1" applyFill="1" applyBorder="1" applyAlignment="1" applyProtection="1">
      <alignment vertical="center"/>
      <protection locked="0"/>
    </xf>
    <xf numFmtId="175" fontId="151" fillId="0" borderId="0" xfId="0" applyNumberFormat="1" applyFont="1" applyFill="1" applyBorder="1" applyAlignment="1" applyProtection="1">
      <alignment vertical="center"/>
      <protection locked="0"/>
    </xf>
    <xf numFmtId="165" fontId="161" fillId="19" borderId="238" xfId="0" applyNumberFormat="1" applyFont="1" applyFill="1" applyBorder="1" applyAlignment="1" applyProtection="1">
      <alignment horizontal="center"/>
      <protection locked="0"/>
    </xf>
    <xf numFmtId="165"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5"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3" fontId="67" fillId="0" borderId="10" xfId="0" applyNumberFormat="1" applyFont="1" applyFill="1" applyBorder="1" applyAlignment="1" applyProtection="1">
      <alignment horizontal="center" vertical="center"/>
    </xf>
    <xf numFmtId="9" fontId="67" fillId="0" borderId="10" xfId="0" applyNumberFormat="1" applyFont="1" applyFill="1" applyBorder="1" applyAlignment="1" applyProtection="1">
      <alignment horizontal="center" vertical="center"/>
    </xf>
    <xf numFmtId="175" fontId="67" fillId="29" borderId="10" xfId="0" applyNumberFormat="1" applyFont="1" applyFill="1" applyBorder="1" applyAlignment="1" applyProtection="1">
      <alignment horizontal="center" vertical="center"/>
    </xf>
    <xf numFmtId="3" fontId="67" fillId="0" borderId="94" xfId="0" applyNumberFormat="1" applyFont="1" applyFill="1" applyBorder="1" applyAlignment="1" applyProtection="1">
      <alignment horizontal="center" vertical="center"/>
    </xf>
    <xf numFmtId="9" fontId="67" fillId="29" borderId="10" xfId="0" applyNumberFormat="1" applyFont="1" applyFill="1" applyBorder="1" applyAlignment="1" applyProtection="1">
      <alignment horizontal="center" vertical="center"/>
    </xf>
    <xf numFmtId="9" fontId="67" fillId="0" borderId="94" xfId="0" applyNumberFormat="1" applyFont="1" applyFill="1" applyBorder="1" applyAlignment="1" applyProtection="1">
      <alignment horizontal="center" vertical="center"/>
    </xf>
    <xf numFmtId="0" fontId="32" fillId="25" borderId="58" xfId="0" applyFont="1" applyFill="1" applyBorder="1" applyAlignment="1" applyProtection="1">
      <alignment horizontal="center"/>
    </xf>
    <xf numFmtId="0" fontId="32" fillId="25" borderId="61" xfId="0" applyFont="1" applyFill="1" applyBorder="1" applyAlignment="1" applyProtection="1">
      <alignment horizontal="center"/>
    </xf>
    <xf numFmtId="173" fontId="34" fillId="0" borderId="0" xfId="0" applyNumberFormat="1" applyFont="1" applyFill="1" applyBorder="1" applyAlignment="1" applyProtection="1">
      <alignment horizontal="justify" vertical="center" wrapText="1"/>
      <protection locked="0"/>
    </xf>
    <xf numFmtId="0" fontId="0" fillId="0" borderId="0" xfId="0" applyFill="1" applyBorder="1" applyAlignment="1">
      <alignment horizontal="left"/>
    </xf>
    <xf numFmtId="0" fontId="34" fillId="0" borderId="0" xfId="0" applyFont="1" applyFill="1" applyBorder="1" applyAlignment="1" applyProtection="1">
      <alignment horizontal="left" wrapText="1"/>
      <protection locked="0"/>
    </xf>
    <xf numFmtId="0" fontId="0" fillId="0" borderId="0" xfId="0" applyFill="1" applyBorder="1" applyAlignment="1">
      <alignment horizontal="left" wrapText="1"/>
    </xf>
    <xf numFmtId="49" fontId="21" fillId="20" borderId="29" xfId="0" applyNumberFormat="1" applyFont="1" applyFill="1" applyBorder="1" applyAlignment="1" applyProtection="1"/>
    <xf numFmtId="175" fontId="28" fillId="0" borderId="10" xfId="0" quotePrefix="1" applyNumberFormat="1" applyFont="1" applyBorder="1" applyAlignment="1" applyProtection="1">
      <alignment horizontal="center" vertical="center" wrapText="1"/>
    </xf>
    <xf numFmtId="175" fontId="67" fillId="28" borderId="10" xfId="0" applyNumberFormat="1" applyFont="1" applyFill="1" applyBorder="1" applyAlignment="1" applyProtection="1">
      <alignment horizontal="center" vertical="center"/>
      <protection locked="0"/>
    </xf>
    <xf numFmtId="9" fontId="67" fillId="23" borderId="10" xfId="0" applyNumberFormat="1" applyFont="1" applyFill="1" applyBorder="1" applyAlignment="1" applyProtection="1">
      <alignment horizontal="center" vertical="center"/>
      <protection locked="0"/>
    </xf>
    <xf numFmtId="9" fontId="151" fillId="23" borderId="10" xfId="0" applyNumberFormat="1" applyFont="1" applyFill="1" applyBorder="1" applyAlignment="1" applyProtection="1">
      <alignment horizontal="center" vertical="center"/>
      <protection locked="0"/>
    </xf>
    <xf numFmtId="175" fontId="67" fillId="0" borderId="10" xfId="0" applyNumberFormat="1" applyFont="1" applyFill="1" applyBorder="1" applyAlignment="1" applyProtection="1">
      <alignment horizontal="center" vertical="center"/>
    </xf>
    <xf numFmtId="4" fontId="0" fillId="0" borderId="87" xfId="0" applyNumberFormat="1" applyBorder="1" applyProtection="1"/>
    <xf numFmtId="164" fontId="17" fillId="30"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5" fillId="0" borderId="29" xfId="0" applyFont="1" applyFill="1" applyBorder="1" applyAlignment="1" applyProtection="1">
      <alignment vertical="center" wrapText="1"/>
      <protection locked="0"/>
    </xf>
    <xf numFmtId="0" fontId="140" fillId="0" borderId="46" xfId="0" applyFont="1" applyFill="1" applyBorder="1" applyAlignment="1" applyProtection="1">
      <alignment vertical="center" wrapText="1"/>
      <protection locked="0"/>
    </xf>
    <xf numFmtId="0" fontId="140" fillId="0" borderId="47" xfId="0" applyFont="1" applyFill="1" applyBorder="1" applyAlignment="1" applyProtection="1">
      <alignment vertical="center" wrapText="1"/>
      <protection locked="0"/>
    </xf>
    <xf numFmtId="0" fontId="142" fillId="0" borderId="29" xfId="0" applyFont="1" applyBorder="1" applyAlignment="1" applyProtection="1">
      <alignment horizontal="left" vertical="center" wrapText="1"/>
      <protection locked="0"/>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5" fillId="0" borderId="29" xfId="0" applyFont="1" applyBorder="1" applyAlignment="1" applyProtection="1">
      <alignment vertical="center" wrapText="1"/>
      <protection locked="0"/>
    </xf>
    <xf numFmtId="0" fontId="140" fillId="0" borderId="46" xfId="0" applyFont="1" applyBorder="1" applyAlignment="1" applyProtection="1">
      <alignment vertical="center" wrapText="1"/>
      <protection locked="0"/>
    </xf>
    <xf numFmtId="0" fontId="140" fillId="0" borderId="47" xfId="0" applyFont="1" applyBorder="1" applyAlignment="1" applyProtection="1">
      <alignment vertical="center" wrapText="1"/>
      <protection locked="0"/>
    </xf>
    <xf numFmtId="0" fontId="139" fillId="0" borderId="29" xfId="0" applyFont="1" applyFill="1" applyBorder="1" applyAlignment="1" applyProtection="1">
      <alignment horizontal="justify" vertical="center" wrapText="1"/>
      <protection locked="0"/>
    </xf>
    <xf numFmtId="0" fontId="140" fillId="0" borderId="46" xfId="0" applyFont="1" applyFill="1" applyBorder="1" applyAlignment="1" applyProtection="1">
      <alignment horizontal="justify" vertical="center" wrapText="1"/>
      <protection locked="0"/>
    </xf>
    <xf numFmtId="0" fontId="140" fillId="0" borderId="47" xfId="0" applyFont="1" applyFill="1" applyBorder="1" applyAlignment="1" applyProtection="1">
      <alignment horizontal="justify" vertical="center" wrapText="1"/>
      <protection locked="0"/>
    </xf>
    <xf numFmtId="0" fontId="139" fillId="0" borderId="29" xfId="0" applyFont="1" applyBorder="1" applyAlignment="1" applyProtection="1">
      <alignment horizontal="center" vertical="center" wrapText="1"/>
      <protection locked="0"/>
    </xf>
    <xf numFmtId="0" fontId="139" fillId="0" borderId="46" xfId="0" applyFont="1" applyBorder="1" applyAlignment="1" applyProtection="1">
      <alignment horizontal="center" vertical="center" wrapText="1"/>
      <protection locked="0"/>
    </xf>
    <xf numFmtId="0" fontId="139" fillId="0" borderId="47" xfId="0" applyFont="1" applyBorder="1" applyAlignment="1" applyProtection="1">
      <alignment horizontal="center" vertical="center" wrapText="1"/>
      <protection locked="0"/>
    </xf>
    <xf numFmtId="0" fontId="139" fillId="0" borderId="29" xfId="0" applyFont="1" applyBorder="1" applyAlignment="1" applyProtection="1">
      <alignment horizontal="left" vertical="center" wrapText="1"/>
      <protection locked="0"/>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164"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137"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2" fillId="0" borderId="29" xfId="0" applyFont="1" applyBorder="1" applyAlignment="1" applyProtection="1">
      <alignment horizontal="justify" vertical="center" wrapText="1"/>
      <protection locked="0"/>
    </xf>
    <xf numFmtId="0" fontId="140" fillId="0" borderId="46" xfId="0" applyFont="1" applyBorder="1" applyAlignment="1" applyProtection="1">
      <alignment horizontal="justify" vertical="center" wrapText="1"/>
      <protection locked="0"/>
    </xf>
    <xf numFmtId="0" fontId="140" fillId="0" borderId="47" xfId="0" applyFont="1" applyBorder="1" applyAlignment="1" applyProtection="1">
      <alignment horizontal="justify" vertical="center" wrapText="1"/>
      <protection locked="0"/>
    </xf>
    <xf numFmtId="0" fontId="121" fillId="0" borderId="67" xfId="0" applyFont="1" applyBorder="1" applyAlignment="1">
      <alignment horizontal="justify" vertical="center" wrapText="1"/>
    </xf>
    <xf numFmtId="0" fontId="121" fillId="0" borderId="106" xfId="0" applyFont="1" applyBorder="1" applyAlignment="1">
      <alignment horizontal="justify" vertical="center" wrapText="1"/>
    </xf>
    <xf numFmtId="0" fontId="121" fillId="0" borderId="108" xfId="0" applyFont="1" applyBorder="1" applyAlignment="1">
      <alignment horizontal="justify" vertical="center" wrapText="1"/>
    </xf>
    <xf numFmtId="0" fontId="137" fillId="0" borderId="29" xfId="0" applyNumberFormat="1" applyFont="1" applyBorder="1" applyAlignment="1" applyProtection="1">
      <alignment horizontal="left" vertical="center" wrapText="1"/>
      <protection locked="0"/>
    </xf>
    <xf numFmtId="0" fontId="139" fillId="0" borderId="46" xfId="0" applyNumberFormat="1" applyFont="1" applyBorder="1" applyAlignment="1" applyProtection="1">
      <alignment horizontal="left" vertical="center" wrapText="1"/>
      <protection locked="0"/>
    </xf>
    <xf numFmtId="0" fontId="139" fillId="0" borderId="47" xfId="0" applyNumberFormat="1" applyFont="1" applyBorder="1" applyAlignment="1" applyProtection="1">
      <alignment horizontal="left" vertical="center" wrapText="1"/>
      <protection locked="0"/>
    </xf>
    <xf numFmtId="0" fontId="140" fillId="22" borderId="29" xfId="0" applyFont="1" applyFill="1" applyBorder="1" applyAlignment="1">
      <alignment vertical="center" wrapText="1"/>
    </xf>
    <xf numFmtId="0" fontId="140" fillId="22" borderId="46" xfId="0" applyFont="1" applyFill="1" applyBorder="1" applyAlignment="1">
      <alignment vertical="center" wrapText="1"/>
    </xf>
    <xf numFmtId="0" fontId="140" fillId="22" borderId="47" xfId="0" applyFont="1" applyFill="1" applyBorder="1" applyAlignment="1">
      <alignment vertical="center" wrapText="1"/>
    </xf>
    <xf numFmtId="0" fontId="136" fillId="0" borderId="29" xfId="0" applyFont="1" applyFill="1" applyBorder="1" applyAlignment="1" applyProtection="1">
      <alignment vertical="center" wrapText="1"/>
      <protection locked="0"/>
    </xf>
    <xf numFmtId="0" fontId="137" fillId="0" borderId="29" xfId="0" applyFont="1" applyBorder="1" applyAlignment="1" applyProtection="1">
      <alignment horizontal="justify" vertical="center" wrapText="1"/>
      <protection locked="0"/>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121" fillId="0" borderId="29" xfId="0" applyFont="1" applyBorder="1" applyAlignment="1">
      <alignment horizontal="justify" vertical="center" wrapText="1"/>
    </xf>
    <xf numFmtId="0" fontId="121" fillId="0" borderId="46" xfId="0" applyFont="1" applyBorder="1" applyAlignment="1">
      <alignment horizontal="justify" vertical="center" wrapText="1"/>
    </xf>
    <xf numFmtId="0" fontId="121" fillId="0" borderId="47" xfId="0" applyFont="1" applyBorder="1" applyAlignment="1">
      <alignment horizontal="justify" vertical="center" wrapText="1"/>
    </xf>
    <xf numFmtId="0" fontId="121" fillId="0" borderId="29" xfId="0" applyFont="1" applyBorder="1" applyAlignment="1">
      <alignment horizontal="left" vertical="center" wrapText="1"/>
    </xf>
    <xf numFmtId="0" fontId="118" fillId="0" borderId="46" xfId="0" applyFont="1" applyBorder="1" applyAlignment="1">
      <alignment horizontal="left" vertical="center" wrapText="1"/>
    </xf>
    <xf numFmtId="0" fontId="118"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63" fillId="0" borderId="29" xfId="0" applyFont="1" applyBorder="1" applyAlignment="1">
      <alignment horizontal="justify" vertical="center" wrapText="1"/>
    </xf>
    <xf numFmtId="164"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86" fillId="0" borderId="0" xfId="0" applyFont="1" applyAlignment="1">
      <alignment horizontal="center"/>
    </xf>
    <xf numFmtId="0" fontId="143" fillId="22" borderId="29" xfId="0" applyFont="1" applyFill="1" applyBorder="1" applyAlignment="1">
      <alignment horizontal="center" vertical="center" wrapText="1"/>
    </xf>
    <xf numFmtId="0" fontId="143" fillId="22" borderId="46" xfId="0" applyFont="1" applyFill="1" applyBorder="1" applyAlignment="1">
      <alignment horizontal="center" vertical="center"/>
    </xf>
    <xf numFmtId="0" fontId="143" fillId="22" borderId="47" xfId="0" applyFont="1" applyFill="1" applyBorder="1" applyAlignment="1">
      <alignment horizontal="center" vertical="center"/>
    </xf>
    <xf numFmtId="0" fontId="144" fillId="22" borderId="29" xfId="0" applyFont="1" applyFill="1" applyBorder="1" applyAlignment="1">
      <alignment horizontal="center" vertical="center"/>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5" fillId="0" borderId="46" xfId="0" applyFont="1" applyFill="1" applyBorder="1" applyAlignment="1" applyProtection="1">
      <alignment vertical="center" wrapText="1"/>
      <protection locked="0"/>
    </xf>
    <xf numFmtId="0" fontId="145"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164"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164"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141" fillId="22" borderId="234" xfId="0" applyNumberFormat="1" applyFont="1" applyFill="1" applyBorder="1" applyAlignment="1" applyProtection="1">
      <alignment horizontal="center" vertical="center" wrapText="1"/>
      <protection locked="0"/>
    </xf>
    <xf numFmtId="0" fontId="141" fillId="22" borderId="107" xfId="0" applyNumberFormat="1" applyFont="1" applyFill="1" applyBorder="1" applyAlignment="1" applyProtection="1">
      <alignment horizontal="center" vertical="center" wrapText="1"/>
      <protection locked="0"/>
    </xf>
    <xf numFmtId="0" fontId="141" fillId="22" borderId="4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164"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49" fontId="141" fillId="23" borderId="119" xfId="0" applyNumberFormat="1" applyFont="1" applyFill="1" applyBorder="1" applyAlignment="1" applyProtection="1">
      <alignment horizontal="center" vertical="center" wrapText="1"/>
      <protection locked="0"/>
    </xf>
    <xf numFmtId="49" fontId="141" fillId="23" borderId="120" xfId="0" applyNumberFormat="1" applyFont="1" applyFill="1" applyBorder="1" applyAlignment="1" applyProtection="1">
      <alignment horizontal="center" vertical="center" wrapText="1"/>
      <protection locked="0"/>
    </xf>
    <xf numFmtId="49" fontId="141" fillId="23" borderId="127" xfId="0" applyNumberFormat="1" applyFont="1" applyFill="1" applyBorder="1" applyAlignment="1" applyProtection="1">
      <alignment horizontal="left" vertical="center" wrapText="1"/>
      <protection locked="0"/>
    </xf>
    <xf numFmtId="49" fontId="141" fillId="23" borderId="10" xfId="0" applyNumberFormat="1" applyFont="1" applyFill="1" applyBorder="1" applyAlignment="1" applyProtection="1">
      <alignment horizontal="left" vertical="center" wrapText="1"/>
      <protection locked="0"/>
    </xf>
    <xf numFmtId="49" fontId="141" fillId="23" borderId="29" xfId="0" applyNumberFormat="1" applyFont="1" applyFill="1" applyBorder="1" applyAlignment="1" applyProtection="1">
      <alignment horizontal="left" vertical="center" wrapText="1"/>
      <protection locked="0"/>
    </xf>
    <xf numFmtId="49" fontId="141" fillId="28" borderId="119" xfId="0" applyNumberFormat="1" applyFont="1" applyFill="1" applyBorder="1" applyAlignment="1" applyProtection="1">
      <alignment horizontal="center" vertical="center" wrapText="1"/>
      <protection locked="0"/>
    </xf>
    <xf numFmtId="49" fontId="141" fillId="28" borderId="120" xfId="0" applyNumberFormat="1" applyFont="1" applyFill="1" applyBorder="1" applyAlignment="1" applyProtection="1">
      <alignment horizontal="center" vertical="center" wrapText="1"/>
      <protection locked="0"/>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141" fillId="23" borderId="115" xfId="0" applyNumberFormat="1" applyFont="1" applyFill="1" applyBorder="1" applyAlignment="1" applyProtection="1">
      <alignment horizontal="center" vertical="center" wrapText="1"/>
      <protection locked="0"/>
    </xf>
    <xf numFmtId="49" fontId="67" fillId="33" borderId="127" xfId="0" applyNumberFormat="1" applyFont="1" applyFill="1" applyBorder="1" applyAlignment="1" applyProtection="1">
      <alignment horizontal="left" vertical="center" wrapText="1"/>
      <protection locked="0"/>
    </xf>
    <xf numFmtId="49" fontId="141" fillId="33" borderId="10" xfId="0" applyNumberFormat="1" applyFont="1" applyFill="1" applyBorder="1" applyAlignment="1" applyProtection="1">
      <alignment horizontal="left" vertical="center" wrapText="1"/>
      <protection locked="0"/>
    </xf>
    <xf numFmtId="49" fontId="141" fillId="33" borderId="29" xfId="0" applyNumberFormat="1" applyFont="1" applyFill="1" applyBorder="1" applyAlignment="1" applyProtection="1">
      <alignment horizontal="left" vertical="center" wrapText="1"/>
      <protection locked="0"/>
    </xf>
    <xf numFmtId="49" fontId="141" fillId="33" borderId="127" xfId="0" applyNumberFormat="1" applyFont="1" applyFill="1" applyBorder="1" applyAlignment="1" applyProtection="1">
      <alignment horizontal="left" vertical="center" wrapText="1"/>
      <protection locked="0"/>
    </xf>
    <xf numFmtId="164" fontId="15" fillId="36" borderId="10" xfId="58" applyFont="1" applyFill="1" applyBorder="1" applyAlignment="1" applyProtection="1">
      <alignment horizontal="center"/>
      <protection locked="0"/>
    </xf>
    <xf numFmtId="0" fontId="113" fillId="0" borderId="0" xfId="0" applyFont="1" applyAlignment="1" applyProtection="1">
      <alignment horizontal="right"/>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3" fillId="0" borderId="0" xfId="0" applyFont="1" applyBorder="1" applyAlignment="1" applyProtection="1">
      <alignment horizontal="right"/>
    </xf>
    <xf numFmtId="0" fontId="113" fillId="0" borderId="139"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2" fillId="0" borderId="130" xfId="0" applyFont="1" applyBorder="1" applyAlignment="1"/>
    <xf numFmtId="0" fontId="67" fillId="0" borderId="47" xfId="0" applyFont="1" applyFill="1" applyBorder="1" applyAlignment="1" applyProtection="1">
      <alignment horizontal="center" vertical="center" wrapText="1"/>
    </xf>
    <xf numFmtId="0" fontId="67" fillId="29" borderId="47" xfId="0" applyFont="1" applyFill="1" applyBorder="1" applyAlignment="1" applyProtection="1">
      <alignment horizontal="center" vertical="center" wrapText="1"/>
    </xf>
    <xf numFmtId="164" fontId="61" fillId="31" borderId="0" xfId="39" applyFont="1" applyFill="1" applyAlignment="1" applyProtection="1">
      <alignment horizontal="center" vertical="center"/>
    </xf>
    <xf numFmtId="0" fontId="113" fillId="0" borderId="51" xfId="0" applyFont="1" applyBorder="1" applyAlignment="1" applyProtection="1">
      <alignment horizontal="right"/>
    </xf>
    <xf numFmtId="3" fontId="155" fillId="35" borderId="29" xfId="0" applyNumberFormat="1" applyFont="1" applyFill="1" applyBorder="1" applyAlignment="1" applyProtection="1">
      <alignment horizontal="center"/>
      <protection locked="0"/>
    </xf>
    <xf numFmtId="3" fontId="155"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6" fillId="0" borderId="10" xfId="58" applyNumberFormat="1" applyFont="1" applyFill="1" applyBorder="1" applyAlignment="1" applyProtection="1">
      <alignment horizontal="center"/>
      <protection locked="0"/>
    </xf>
    <xf numFmtId="15" fontId="138" fillId="0" borderId="10" xfId="58" applyNumberFormat="1" applyFill="1" applyBorder="1" applyAlignment="1" applyProtection="1">
      <alignment horizontal="center"/>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1" fillId="22" borderId="235" xfId="0" applyNumberFormat="1" applyFont="1" applyFill="1" applyBorder="1" applyAlignment="1" applyProtection="1">
      <alignment horizontal="left" vertical="center" wrapText="1"/>
      <protection locked="0"/>
    </xf>
    <xf numFmtId="49" fontId="141" fillId="22" borderId="111" xfId="0" applyNumberFormat="1" applyFont="1" applyFill="1" applyBorder="1" applyAlignment="1" applyProtection="1">
      <alignment horizontal="left" vertical="center" wrapText="1"/>
      <protection locked="0"/>
    </xf>
    <xf numFmtId="49" fontId="141" fillId="22" borderId="236" xfId="0" applyNumberFormat="1" applyFont="1" applyFill="1" applyBorder="1" applyAlignment="1" applyProtection="1">
      <alignment horizontal="left" vertical="center" wrapText="1"/>
      <protection locked="0"/>
    </xf>
    <xf numFmtId="49" fontId="141" fillId="22" borderId="105" xfId="0" applyNumberFormat="1" applyFont="1" applyFill="1" applyBorder="1" applyAlignment="1" applyProtection="1">
      <alignment horizontal="left" vertical="center" wrapText="1"/>
      <protection locked="0"/>
    </xf>
    <xf numFmtId="49" fontId="141" fillId="22" borderId="106" xfId="0" applyNumberFormat="1" applyFont="1" applyFill="1" applyBorder="1" applyAlignment="1" applyProtection="1">
      <alignment horizontal="left" vertical="center" wrapText="1"/>
      <protection locked="0"/>
    </xf>
    <xf numFmtId="49" fontId="141" fillId="22" borderId="110" xfId="0" applyNumberFormat="1" applyFont="1" applyFill="1" applyBorder="1" applyAlignment="1" applyProtection="1">
      <alignment horizontal="left" vertical="center" wrapText="1"/>
      <protection locked="0"/>
    </xf>
    <xf numFmtId="0" fontId="141" fillId="22" borderId="115" xfId="0" applyNumberFormat="1" applyFont="1" applyFill="1" applyBorder="1" applyAlignment="1" applyProtection="1">
      <alignment horizontal="center" vertical="center" wrapText="1"/>
      <protection locked="0"/>
    </xf>
    <xf numFmtId="49" fontId="141"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1" fillId="28" borderId="234" xfId="0" applyNumberFormat="1" applyFont="1" applyFill="1" applyBorder="1" applyAlignment="1" applyProtection="1">
      <alignment horizontal="center" vertical="center" wrapText="1"/>
      <protection locked="0"/>
    </xf>
    <xf numFmtId="0" fontId="141" fillId="28" borderId="107"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1" fillId="28" borderId="115" xfId="0" applyNumberFormat="1" applyFont="1" applyFill="1" applyBorder="1" applyAlignment="1" applyProtection="1">
      <alignment horizontal="center"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164" fontId="104" fillId="31" borderId="0" xfId="39" applyFont="1" applyFill="1" applyAlignment="1" applyProtection="1">
      <alignment horizontal="center" vertical="center"/>
    </xf>
    <xf numFmtId="164" fontId="24" fillId="24" borderId="43" xfId="58" applyFont="1" applyFill="1" applyBorder="1" applyAlignment="1" applyProtection="1">
      <alignment horizontal="center"/>
    </xf>
    <xf numFmtId="164" fontId="33" fillId="24" borderId="0" xfId="50" applyFont="1" applyFill="1" applyAlignment="1" applyProtection="1">
      <alignment horizontal="center" vertical="center" wrapText="1"/>
    </xf>
    <xf numFmtId="173" fontId="24" fillId="24" borderId="43" xfId="58" applyNumberFormat="1" applyFont="1" applyFill="1" applyBorder="1" applyAlignment="1" applyProtection="1">
      <alignment horizontal="center" vertical="center"/>
    </xf>
    <xf numFmtId="164" fontId="1" fillId="0" borderId="43" xfId="58" applyFont="1" applyBorder="1" applyAlignment="1" applyProtection="1">
      <alignment horizontal="right"/>
    </xf>
    <xf numFmtId="164" fontId="1" fillId="0" borderId="43" xfId="58" applyFont="1" applyFill="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164" fontId="116"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8" applyFont="1" applyFill="1" applyBorder="1" applyAlignment="1" applyProtection="1">
      <alignment horizontal="center"/>
    </xf>
    <xf numFmtId="0" fontId="117" fillId="0" borderId="148" xfId="0" applyFont="1" applyFill="1" applyBorder="1" applyAlignment="1" applyProtection="1">
      <alignment horizontal="left" wrapText="1"/>
    </xf>
    <xf numFmtId="0" fontId="117" fillId="0" borderId="149" xfId="0" applyFont="1" applyFill="1" applyBorder="1" applyAlignment="1" applyProtection="1">
      <alignment horizontal="left" wrapText="1"/>
    </xf>
    <xf numFmtId="0" fontId="117" fillId="0" borderId="147" xfId="0" applyFont="1" applyFill="1" applyBorder="1" applyAlignment="1" applyProtection="1">
      <alignment horizontal="left" wrapText="1"/>
    </xf>
    <xf numFmtId="0" fontId="117" fillId="0" borderId="95" xfId="0" applyFont="1" applyFill="1" applyBorder="1" applyAlignment="1" applyProtection="1">
      <alignment horizontal="left" wrapText="1"/>
    </xf>
    <xf numFmtId="0" fontId="0" fillId="0" borderId="150" xfId="0" applyBorder="1" applyAlignment="1" applyProtection="1">
      <alignment horizontal="center"/>
    </xf>
    <xf numFmtId="0" fontId="0" fillId="0" borderId="65" xfId="0" applyBorder="1" applyAlignment="1" applyProtection="1">
      <alignment horizontal="center"/>
    </xf>
    <xf numFmtId="0" fontId="110" fillId="0" borderId="0" xfId="0" applyFont="1" applyAlignment="1" applyProtection="1">
      <alignment horizontal="center"/>
    </xf>
    <xf numFmtId="164" fontId="109" fillId="0" borderId="121" xfId="0" applyNumberFormat="1" applyFont="1" applyBorder="1" applyAlignment="1" applyProtection="1">
      <alignment horizontal="center" vertical="center" wrapText="1"/>
    </xf>
    <xf numFmtId="164" fontId="109" fillId="0" borderId="122" xfId="0" applyNumberFormat="1" applyFont="1" applyBorder="1" applyAlignment="1" applyProtection="1">
      <alignment horizontal="center" vertical="center" wrapText="1"/>
    </xf>
    <xf numFmtId="164" fontId="109" fillId="0" borderId="123"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164" fontId="37" fillId="0" borderId="0" xfId="0" applyNumberFormat="1" applyFont="1" applyAlignment="1" applyProtection="1">
      <alignment horizontal="left" wrapText="1"/>
    </xf>
    <xf numFmtId="173" fontId="30" fillId="22" borderId="29" xfId="0" applyNumberFormat="1" applyFont="1" applyFill="1" applyBorder="1" applyAlignment="1" applyProtection="1">
      <alignment horizontal="justify" vertical="top" wrapText="1"/>
      <protection locked="0"/>
    </xf>
    <xf numFmtId="173" fontId="30" fillId="22" borderId="46" xfId="0" applyNumberFormat="1" applyFont="1" applyFill="1" applyBorder="1" applyAlignment="1" applyProtection="1">
      <alignment horizontal="justify" vertical="top" wrapText="1"/>
      <protection locked="0"/>
    </xf>
    <xf numFmtId="173" fontId="30" fillId="22" borderId="47" xfId="0" applyNumberFormat="1" applyFont="1" applyFill="1" applyBorder="1" applyAlignment="1" applyProtection="1">
      <alignment horizontal="justify" vertical="top" wrapText="1"/>
      <protection locked="0"/>
    </xf>
    <xf numFmtId="0" fontId="150" fillId="22" borderId="29" xfId="0" applyFont="1" applyFill="1" applyBorder="1" applyAlignment="1" applyProtection="1">
      <alignment horizontal="left" vertical="top" wrapText="1"/>
      <protection locked="0"/>
    </xf>
    <xf numFmtId="0" fontId="146" fillId="0" borderId="46" xfId="0" applyFont="1" applyBorder="1" applyAlignment="1">
      <alignment vertical="top"/>
    </xf>
    <xf numFmtId="0" fontId="146"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164"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164" fontId="14" fillId="0" borderId="0" xfId="0" applyNumberFormat="1" applyFont="1" applyAlignment="1">
      <alignment horizontal="center" wrapText="1"/>
    </xf>
    <xf numFmtId="173" fontId="34" fillId="22" borderId="29" xfId="0" applyNumberFormat="1" applyFont="1" applyFill="1" applyBorder="1" applyAlignment="1" applyProtection="1">
      <alignment horizontal="justify" vertical="center" wrapText="1"/>
      <protection locked="0"/>
    </xf>
    <xf numFmtId="173" fontId="34" fillId="22" borderId="46" xfId="0" applyNumberFormat="1" applyFont="1" applyFill="1" applyBorder="1" applyAlignment="1" applyProtection="1">
      <alignment horizontal="justify" vertical="center" wrapText="1"/>
      <protection locked="0"/>
    </xf>
    <xf numFmtId="173" fontId="34" fillId="22" borderId="47" xfId="0" applyNumberFormat="1" applyFont="1" applyFill="1" applyBorder="1" applyAlignment="1" applyProtection="1">
      <alignment horizontal="justify" vertical="center" wrapText="1"/>
      <protection locked="0"/>
    </xf>
    <xf numFmtId="173" fontId="34" fillId="22" borderId="29" xfId="0" applyNumberFormat="1" applyFont="1" applyFill="1" applyBorder="1" applyAlignment="1" applyProtection="1">
      <alignment horizontal="justify" vertical="top" wrapText="1"/>
      <protection locked="0"/>
    </xf>
    <xf numFmtId="173" fontId="34" fillId="22" borderId="46" xfId="0" applyNumberFormat="1" applyFont="1" applyFill="1" applyBorder="1" applyAlignment="1" applyProtection="1">
      <alignment horizontal="justify" vertical="top" wrapText="1"/>
      <protection locked="0"/>
    </xf>
    <xf numFmtId="173" fontId="34" fillId="22" borderId="47" xfId="0" applyNumberFormat="1" applyFont="1" applyFill="1" applyBorder="1" applyAlignment="1" applyProtection="1">
      <alignment horizontal="justify" vertical="top" wrapText="1"/>
      <protection locked="0"/>
    </xf>
    <xf numFmtId="0" fontId="14" fillId="0" borderId="0" xfId="0" applyFont="1" applyBorder="1" applyAlignment="1">
      <alignment horizontal="center"/>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31" borderId="0" xfId="48" applyFont="1" applyFill="1" applyAlignment="1">
      <alignment horizontal="center" vertical="center"/>
    </xf>
    <xf numFmtId="0" fontId="110" fillId="0" borderId="0" xfId="0" applyFont="1" applyAlignment="1">
      <alignment horizontal="center"/>
    </xf>
    <xf numFmtId="164" fontId="35" fillId="0" borderId="0" xfId="0" applyNumberFormat="1" applyFont="1" applyAlignment="1">
      <alignment horizontal="left" wrapText="1"/>
    </xf>
    <xf numFmtId="173" fontId="0" fillId="0" borderId="46" xfId="0" applyNumberFormat="1" applyBorder="1" applyAlignment="1">
      <alignment horizontal="justify" vertical="center" wrapText="1"/>
    </xf>
    <xf numFmtId="173" fontId="0" fillId="0" borderId="47" xfId="0" applyNumberFormat="1" applyBorder="1" applyAlignment="1">
      <alignment horizontal="justify" vertical="center" wrapText="1"/>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9" fontId="148" fillId="0" borderId="10" xfId="0" applyNumberFormat="1" applyFont="1" applyBorder="1" applyAlignment="1" applyProtection="1">
      <alignment vertical="center" wrapText="1"/>
    </xf>
    <xf numFmtId="0" fontId="148" fillId="0" borderId="10"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9" fontId="157" fillId="22" borderId="10" xfId="56" applyFont="1" applyFill="1" applyBorder="1" applyAlignment="1" applyProtection="1">
      <alignment horizontal="justify" vertical="center" wrapText="1"/>
      <protection locked="0"/>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1"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1"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0" fontId="34" fillId="20" borderId="0" xfId="0" applyFont="1" applyFill="1" applyAlignment="1" applyProtection="1">
      <alignment horizontal="center" vertical="center" wrapText="1"/>
    </xf>
    <xf numFmtId="49" fontId="148" fillId="0" borderId="29" xfId="0" applyNumberFormat="1" applyFont="1" applyBorder="1" applyAlignment="1" applyProtection="1">
      <alignment vertical="center" wrapText="1"/>
    </xf>
    <xf numFmtId="0" fontId="148" fillId="0" borderId="46" xfId="0" applyFont="1" applyBorder="1" applyAlignment="1" applyProtection="1">
      <alignment vertical="center" wrapText="1"/>
    </xf>
    <xf numFmtId="0" fontId="148" fillId="0" borderId="47"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148" fillId="0" borderId="29" xfId="0" applyFont="1" applyBorder="1" applyAlignment="1" applyProtection="1">
      <alignment vertical="center" wrapText="1"/>
    </xf>
    <xf numFmtId="164" fontId="61" fillId="31" borderId="0" xfId="48" applyFont="1" applyFill="1" applyAlignment="1" applyProtection="1">
      <alignment horizontal="center" vertical="center"/>
    </xf>
    <xf numFmtId="164" fontId="14" fillId="0" borderId="0" xfId="0" applyNumberFormat="1" applyFont="1" applyAlignment="1" applyProtection="1">
      <alignment horizontal="justify" wrapText="1"/>
    </xf>
    <xf numFmtId="0" fontId="147" fillId="0" borderId="111" xfId="0" applyFont="1" applyBorder="1" applyAlignment="1" applyProtection="1">
      <alignment horizontal="left" vertical="center" wrapText="1"/>
    </xf>
    <xf numFmtId="164" fontId="110"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21" fillId="0" borderId="0" xfId="59" applyFont="1" applyFill="1" applyBorder="1" applyAlignment="1" applyProtection="1">
      <alignment horizontal="center"/>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7" fillId="0" borderId="111" xfId="0" applyFont="1" applyBorder="1" applyAlignment="1" applyProtection="1">
      <alignment horizontal="justify" vertical="center"/>
    </xf>
    <xf numFmtId="0" fontId="0" fillId="0" borderId="46" xfId="0" applyBorder="1" applyAlignment="1">
      <alignment horizontal="justify" vertical="top" wrapText="1"/>
    </xf>
    <xf numFmtId="0" fontId="0" fillId="0" borderId="47" xfId="0" applyBorder="1" applyAlignment="1">
      <alignment horizontal="justify" vertical="top" wrapText="1"/>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1" xfId="0" applyFont="1" applyFill="1" applyBorder="1" applyAlignment="1" applyProtection="1">
      <alignment horizont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80" fillId="0" borderId="179" xfId="0" applyNumberFormat="1" applyFont="1" applyFill="1" applyBorder="1" applyAlignment="1" applyProtection="1">
      <alignment horizontal="left" vertical="top" wrapText="1"/>
    </xf>
    <xf numFmtId="0" fontId="80" fillId="0" borderId="180" xfId="0" applyNumberFormat="1" applyFont="1" applyFill="1" applyBorder="1" applyAlignment="1" applyProtection="1">
      <alignment horizontal="left" vertical="top" wrapText="1"/>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4" fillId="24" borderId="190" xfId="0" applyFont="1" applyFill="1" applyBorder="1" applyAlignment="1" applyProtection="1">
      <alignment horizontal="center" vertical="center"/>
    </xf>
    <xf numFmtId="0" fontId="124"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4" fillId="24" borderId="192" xfId="0" applyFont="1" applyFill="1" applyBorder="1" applyAlignment="1" applyProtection="1">
      <alignment horizontal="center" vertical="center"/>
    </xf>
    <xf numFmtId="0" fontId="124" fillId="24" borderId="193" xfId="0" applyFont="1" applyFill="1" applyBorder="1" applyAlignment="1" applyProtection="1">
      <alignment horizontal="center" vertical="center"/>
    </xf>
    <xf numFmtId="0" fontId="124" fillId="24" borderId="194" xfId="0" applyFont="1" applyFill="1" applyBorder="1" applyAlignment="1" applyProtection="1">
      <alignment horizontal="center" vertical="center"/>
    </xf>
    <xf numFmtId="0" fontId="110" fillId="0" borderId="0" xfId="0" applyFont="1" applyBorder="1" applyAlignment="1" applyProtection="1">
      <alignment horizontal="center"/>
    </xf>
    <xf numFmtId="164" fontId="15" fillId="30" borderId="0" xfId="59" applyFont="1" applyFill="1" applyBorder="1" applyAlignment="1" applyProtection="1">
      <alignment horizont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166" fillId="0" borderId="177" xfId="0" applyNumberFormat="1" applyFont="1" applyFill="1" applyBorder="1" applyAlignment="1" applyProtection="1">
      <alignment horizontal="left" vertical="top" wrapText="1"/>
    </xf>
    <xf numFmtId="0" fontId="166" fillId="0" borderId="178" xfId="0" applyNumberFormat="1" applyFont="1" applyFill="1" applyBorder="1" applyAlignment="1" applyProtection="1">
      <alignment horizontal="left" vertical="top" wrapText="1"/>
    </xf>
    <xf numFmtId="0" fontId="21" fillId="0" borderId="21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31"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05" xfId="53" applyNumberFormat="1" applyFont="1" applyFill="1" applyBorder="1" applyAlignment="1">
      <alignment horizontal="center" vertical="center" wrapText="1"/>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164" fontId="15" fillId="30" borderId="0" xfId="60" applyFont="1" applyFill="1" applyBorder="1" applyAlignment="1" applyProtection="1">
      <alignment horizontal="center"/>
      <protection locked="0"/>
    </xf>
    <xf numFmtId="0" fontId="21" fillId="0" borderId="39" xfId="0" applyFont="1" applyFill="1" applyBorder="1" applyAlignment="1" applyProtection="1">
      <alignment horizontal="left"/>
      <protection locked="0"/>
    </xf>
    <xf numFmtId="0" fontId="21" fillId="0" borderId="231"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163" fillId="21" borderId="219" xfId="0" applyFont="1" applyFill="1" applyBorder="1" applyAlignment="1">
      <alignment horizontal="center" vertical="center" textRotation="90"/>
    </xf>
    <xf numFmtId="0" fontId="164" fillId="21" borderId="92" xfId="0" applyFont="1" applyFill="1" applyBorder="1" applyAlignment="1">
      <alignment horizontal="center" vertical="center" textRotation="90"/>
    </xf>
    <xf numFmtId="0" fontId="164" fillId="21" borderId="109" xfId="0" applyFont="1" applyFill="1" applyBorder="1" applyAlignment="1">
      <alignment horizontal="center" vertical="center" textRotation="9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9"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158" fillId="0" borderId="173" xfId="0" applyFont="1" applyFill="1" applyBorder="1" applyAlignment="1" applyProtection="1">
      <alignment horizontal="left" vertical="center" wrapText="1"/>
      <protection locked="0"/>
    </xf>
    <xf numFmtId="0" fontId="156" fillId="0" borderId="173" xfId="0" applyFont="1" applyFill="1" applyBorder="1" applyAlignment="1" applyProtection="1">
      <alignment horizontal="left" vertical="center" wrapText="1"/>
      <protection locked="0"/>
    </xf>
    <xf numFmtId="0" fontId="156" fillId="0" borderId="206" xfId="0" applyFont="1" applyFill="1" applyBorder="1" applyAlignment="1" applyProtection="1">
      <alignment horizontal="left" vertical="center" wrapText="1"/>
      <protection locked="0"/>
    </xf>
    <xf numFmtId="0" fontId="155" fillId="22" borderId="112" xfId="0" applyFont="1" applyFill="1" applyBorder="1" applyAlignment="1" applyProtection="1">
      <alignment horizontal="left" wrapText="1"/>
      <protection locked="0"/>
    </xf>
    <xf numFmtId="0" fontId="155" fillId="22" borderId="111" xfId="0" applyFont="1" applyFill="1" applyBorder="1" applyAlignment="1" applyProtection="1">
      <alignment horizontal="left" wrapText="1"/>
      <protection locked="0"/>
    </xf>
    <xf numFmtId="0" fontId="155" fillId="22" borderId="113" xfId="0" applyFont="1" applyFill="1" applyBorder="1" applyAlignment="1" applyProtection="1">
      <alignment horizontal="left" wrapText="1"/>
      <protection locked="0"/>
    </xf>
    <xf numFmtId="0" fontId="155" fillId="22" borderId="67" xfId="0" applyFont="1" applyFill="1" applyBorder="1" applyAlignment="1" applyProtection="1">
      <alignment horizontal="left" wrapText="1"/>
      <protection locked="0"/>
    </xf>
    <xf numFmtId="0" fontId="155" fillId="22" borderId="106" xfId="0" applyFont="1" applyFill="1" applyBorder="1" applyAlignment="1" applyProtection="1">
      <alignment horizontal="left" wrapText="1"/>
      <protection locked="0"/>
    </xf>
    <xf numFmtId="0" fontId="155" fillId="22" borderId="108" xfId="0" applyFont="1" applyFill="1" applyBorder="1" applyAlignment="1" applyProtection="1">
      <alignment horizontal="left" wrapText="1"/>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77" fillId="21" borderId="218" xfId="53" applyNumberFormat="1" applyFont="1" applyFill="1" applyBorder="1" applyAlignment="1">
      <alignment horizontal="center" vertical="center" wrapText="1"/>
    </xf>
    <xf numFmtId="0" fontId="24" fillId="0" borderId="0" xfId="0" applyFont="1" applyAlignment="1">
      <alignment horizontal="center"/>
    </xf>
    <xf numFmtId="0" fontId="21" fillId="0" borderId="223" xfId="0" applyFont="1" applyFill="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164" fontId="17" fillId="31" borderId="0" xfId="39" applyFont="1" applyFill="1" applyAlignment="1">
      <alignment horizontal="center" vertical="center"/>
    </xf>
    <xf numFmtId="0" fontId="33" fillId="0" borderId="0" xfId="0" applyFont="1" applyAlignment="1">
      <alignment horizontal="center"/>
    </xf>
  </cellXfs>
  <cellStyles count="6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Euro" xfId="29" xr:uid="{00000000-0005-0000-0000-00001C000000}"/>
    <cellStyle name="Explanatory Text" xfId="30" xr:uid="{00000000-0005-0000-0000-00001D000000}"/>
    <cellStyle name="Good" xfId="31" xr:uid="{00000000-0005-0000-0000-00001E000000}"/>
    <cellStyle name="Heading 1" xfId="32" xr:uid="{00000000-0005-0000-0000-00001F000000}"/>
    <cellStyle name="Heading 2" xfId="33" xr:uid="{00000000-0005-0000-0000-000020000000}"/>
    <cellStyle name="Heading 3" xfId="34" xr:uid="{00000000-0005-0000-0000-000021000000}"/>
    <cellStyle name="Heading 4" xfId="35" xr:uid="{00000000-0005-0000-0000-000022000000}"/>
    <cellStyle name="Input" xfId="36" xr:uid="{00000000-0005-0000-0000-000023000000}"/>
    <cellStyle name="Linked Cell" xfId="37" xr:uid="{00000000-0005-0000-0000-000024000000}"/>
    <cellStyle name="Millares 2" xfId="38" xr:uid="{00000000-0005-0000-0000-000025000000}"/>
    <cellStyle name="Normal" xfId="0" builtinId="0"/>
    <cellStyle name="Normal 2" xfId="39" xr:uid="{00000000-0005-0000-0000-000027000000}"/>
    <cellStyle name="Normal 2 2" xfId="40" xr:uid="{00000000-0005-0000-0000-000028000000}"/>
    <cellStyle name="Normal 2 3" xfId="41" xr:uid="{00000000-0005-0000-0000-000029000000}"/>
    <cellStyle name="Normal 2 4" xfId="42" xr:uid="{00000000-0005-0000-0000-00002A000000}"/>
    <cellStyle name="Normal 2 5" xfId="43" xr:uid="{00000000-0005-0000-0000-00002B000000}"/>
    <cellStyle name="Normal 2 6" xfId="44" xr:uid="{00000000-0005-0000-0000-00002C000000}"/>
    <cellStyle name="Normal 2 7" xfId="45" xr:uid="{00000000-0005-0000-0000-00002D000000}"/>
    <cellStyle name="Normal 2 8" xfId="46" xr:uid="{00000000-0005-0000-0000-00002E000000}"/>
    <cellStyle name="Normal 2_Dashboard ver 2.2 ES" xfId="47" xr:uid="{00000000-0005-0000-0000-00002F000000}"/>
    <cellStyle name="Normal 2_Prototipo" xfId="48" xr:uid="{00000000-0005-0000-0000-000030000000}"/>
    <cellStyle name="Normal 3" xfId="49" xr:uid="{00000000-0005-0000-0000-000031000000}"/>
    <cellStyle name="Normal 4" xfId="50" xr:uid="{00000000-0005-0000-0000-000032000000}"/>
    <cellStyle name="Normal 5" xfId="51" xr:uid="{00000000-0005-0000-0000-000033000000}"/>
    <cellStyle name="Normal 6" xfId="52" xr:uid="{00000000-0005-0000-0000-000034000000}"/>
    <cellStyle name="Normal_TZ_R3HIV_Phase_2_21_August_08" xfId="53" xr:uid="{00000000-0005-0000-0000-000035000000}"/>
    <cellStyle name="Note" xfId="54" xr:uid="{00000000-0005-0000-0000-000036000000}"/>
    <cellStyle name="Output" xfId="55" xr:uid="{00000000-0005-0000-0000-000037000000}"/>
    <cellStyle name="Percent" xfId="56" builtinId="5"/>
    <cellStyle name="Title" xfId="57" xr:uid="{00000000-0005-0000-0000-000039000000}"/>
    <cellStyle name="Título 3 3" xfId="58" xr:uid="{00000000-0005-0000-0000-00003A000000}"/>
    <cellStyle name="Título 3 3_Prototipo" xfId="59" xr:uid="{00000000-0005-0000-0000-00003B000000}"/>
    <cellStyle name="Título 3 3_PrototipoRep1" xfId="60" xr:uid="{00000000-0005-0000-0000-00003C000000}"/>
    <cellStyle name="Título 3 7" xfId="61" xr:uid="{00000000-0005-0000-0000-00003D000000}"/>
    <cellStyle name="Warning Text" xfId="62" xr:uid="{00000000-0005-0000-0000-00003E000000}"/>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122270.5</c:v>
                </c:pt>
                <c:pt idx="1">
                  <c:v>750199.82</c:v>
                </c:pt>
                <c:pt idx="2">
                  <c:v>908729.67999999993</c:v>
                </c:pt>
                <c:pt idx="3">
                  <c:v>1719692.68</c:v>
                </c:pt>
                <c:pt idx="4">
                  <c:v>2055435.96</c:v>
                </c:pt>
                <c:pt idx="5">
                  <c:v>3212688</c:v>
                </c:pt>
                <c:pt idx="6">
                  <c:v>0</c:v>
                </c:pt>
                <c:pt idx="7">
                  <c:v>0</c:v>
                </c:pt>
                <c:pt idx="8">
                  <c:v>0</c:v>
                </c:pt>
                <c:pt idx="9">
                  <c:v>0</c:v>
                </c:pt>
                <c:pt idx="10">
                  <c:v>0</c:v>
                </c:pt>
                <c:pt idx="11">
                  <c:v>0</c:v>
                </c:pt>
              </c:numCache>
            </c:numRef>
          </c:val>
          <c:extLst>
            <c:ext xmlns:c16="http://schemas.microsoft.com/office/drawing/2014/chart" uri="{C3380CC4-5D6E-409C-BE32-E72D297353CC}">
              <c16:uniqueId val="{00000000-3E28-4848-A76A-BFEF62684938}"/>
            </c:ext>
          </c:extLst>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1558295</c:v>
                </c:pt>
                <c:pt idx="2">
                  <c:v>1558295</c:v>
                </c:pt>
                <c:pt idx="3">
                  <c:v>2383436</c:v>
                </c:pt>
                <c:pt idx="4">
                  <c:v>2621981</c:v>
                </c:pt>
                <c:pt idx="5">
                  <c:v>3121042.26</c:v>
                </c:pt>
                <c:pt idx="6">
                  <c:v>0</c:v>
                </c:pt>
                <c:pt idx="7">
                  <c:v>0</c:v>
                </c:pt>
                <c:pt idx="8">
                  <c:v>0</c:v>
                </c:pt>
                <c:pt idx="9">
                  <c:v>0</c:v>
                </c:pt>
                <c:pt idx="10">
                  <c:v>0</c:v>
                </c:pt>
                <c:pt idx="11">
                  <c:v>0</c:v>
                </c:pt>
              </c:numCache>
            </c:numRef>
          </c:val>
          <c:extLst>
            <c:ext xmlns:c16="http://schemas.microsoft.com/office/drawing/2014/chart" uri="{C3380CC4-5D6E-409C-BE32-E72D297353CC}">
              <c16:uniqueId val="{00000001-3E28-4848-A76A-BFEF62684938}"/>
            </c:ext>
          </c:extLst>
        </c:ser>
        <c:dLbls>
          <c:showLegendKey val="0"/>
          <c:showVal val="0"/>
          <c:showCatName val="0"/>
          <c:showSerName val="0"/>
          <c:showPercent val="0"/>
          <c:showBubbleSize val="0"/>
        </c:dLbls>
        <c:gapWidth val="70"/>
        <c:axId val="317175696"/>
        <c:axId val="317176088"/>
      </c:barChart>
      <c:catAx>
        <c:axId val="31717569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17176088"/>
        <c:crosses val="autoZero"/>
        <c:auto val="1"/>
        <c:lblAlgn val="ctr"/>
        <c:lblOffset val="100"/>
        <c:tickLblSkip val="1"/>
        <c:tickMarkSkip val="1"/>
        <c:noMultiLvlLbl val="0"/>
      </c:catAx>
      <c:valAx>
        <c:axId val="3171760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1717569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datelor'!$H$124:$S$124</c:f>
              <c:numCache>
                <c:formatCode>0.0%</c:formatCode>
                <c:ptCount val="12"/>
                <c:pt idx="1">
                  <c:v>0.27</c:v>
                </c:pt>
                <c:pt idx="3">
                  <c:v>0.3</c:v>
                </c:pt>
                <c:pt idx="5">
                  <c:v>0.33</c:v>
                </c:pt>
              </c:numCache>
            </c:numRef>
          </c:val>
          <c:extLst>
            <c:ext xmlns:c16="http://schemas.microsoft.com/office/drawing/2014/chart" uri="{C3380CC4-5D6E-409C-BE32-E72D297353CC}">
              <c16:uniqueId val="{00000000-AFF5-430A-927B-A770D3516575}"/>
            </c:ext>
          </c:extLst>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datelor'!$H$125:$S$125</c:f>
              <c:numCache>
                <c:formatCode>0.0%</c:formatCode>
                <c:ptCount val="12"/>
                <c:pt idx="1">
                  <c:v>0.21</c:v>
                </c:pt>
                <c:pt idx="3">
                  <c:v>0.28179999999999999</c:v>
                </c:pt>
                <c:pt idx="5">
                  <c:v>0.28100000000000003</c:v>
                </c:pt>
              </c:numCache>
            </c:numRef>
          </c:val>
          <c:extLst>
            <c:ext xmlns:c16="http://schemas.microsoft.com/office/drawing/2014/chart" uri="{C3380CC4-5D6E-409C-BE32-E72D297353CC}">
              <c16:uniqueId val="{00000001-AFF5-430A-927B-A770D3516575}"/>
            </c:ext>
          </c:extLst>
        </c:ser>
        <c:dLbls>
          <c:showLegendKey val="0"/>
          <c:showVal val="0"/>
          <c:showCatName val="0"/>
          <c:showSerName val="0"/>
          <c:showPercent val="0"/>
          <c:showBubbleSize val="0"/>
        </c:dLbls>
        <c:gapWidth val="150"/>
        <c:axId val="414258464"/>
        <c:axId val="414258856"/>
      </c:barChart>
      <c:catAx>
        <c:axId val="41425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14258856"/>
        <c:crosses val="autoZero"/>
        <c:auto val="1"/>
        <c:lblAlgn val="ctr"/>
        <c:lblOffset val="100"/>
        <c:tickLblSkip val="1"/>
        <c:tickMarkSkip val="1"/>
        <c:noMultiLvlLbl val="0"/>
      </c:catAx>
      <c:valAx>
        <c:axId val="414258856"/>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14258464"/>
        <c:crosses val="autoZero"/>
        <c:crossBetween val="between"/>
      </c:valAx>
      <c:spPr>
        <a:noFill/>
        <a:ln w="25400">
          <a:noFill/>
        </a:ln>
      </c:spPr>
    </c:plotArea>
    <c:legend>
      <c:legendPos val="r"/>
      <c:layout>
        <c:manualLayout>
          <c:xMode val="edge"/>
          <c:yMode val="edge"/>
          <c:x val="0.41868471128608925"/>
          <c:y val="0.9229454651501896"/>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0.0%</c:formatCode>
                <c:ptCount val="12"/>
                <c:pt idx="1">
                  <c:v>0.83</c:v>
                </c:pt>
                <c:pt idx="3">
                  <c:v>0.84</c:v>
                </c:pt>
                <c:pt idx="5" formatCode="#,##0">
                  <c:v>0</c:v>
                </c:pt>
              </c:numCache>
            </c:numRef>
          </c:val>
          <c:extLst>
            <c:ext xmlns:c16="http://schemas.microsoft.com/office/drawing/2014/chart" uri="{C3380CC4-5D6E-409C-BE32-E72D297353CC}">
              <c16:uniqueId val="{00000000-0177-4C3B-B5EE-F07D2F46B42A}"/>
            </c:ext>
          </c:extLst>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0.0%</c:formatCode>
                <c:ptCount val="12"/>
                <c:pt idx="1">
                  <c:v>0.84</c:v>
                </c:pt>
                <c:pt idx="3">
                  <c:v>0.83540000000000003</c:v>
                </c:pt>
                <c:pt idx="5">
                  <c:v>0.83330000000000004</c:v>
                </c:pt>
              </c:numCache>
            </c:numRef>
          </c:val>
          <c:extLst>
            <c:ext xmlns:c16="http://schemas.microsoft.com/office/drawing/2014/chart" uri="{C3380CC4-5D6E-409C-BE32-E72D297353CC}">
              <c16:uniqueId val="{00000001-0177-4C3B-B5EE-F07D2F46B42A}"/>
            </c:ext>
          </c:extLst>
        </c:ser>
        <c:dLbls>
          <c:showLegendKey val="0"/>
          <c:showVal val="0"/>
          <c:showCatName val="0"/>
          <c:showSerName val="0"/>
          <c:showPercent val="0"/>
          <c:showBubbleSize val="0"/>
        </c:dLbls>
        <c:gapWidth val="150"/>
        <c:axId val="414259640"/>
        <c:axId val="414260032"/>
      </c:barChart>
      <c:catAx>
        <c:axId val="414259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14260032"/>
        <c:crosses val="autoZero"/>
        <c:auto val="1"/>
        <c:lblAlgn val="ctr"/>
        <c:lblOffset val="100"/>
        <c:tickLblSkip val="1"/>
        <c:tickMarkSkip val="1"/>
        <c:noMultiLvlLbl val="0"/>
      </c:catAx>
      <c:valAx>
        <c:axId val="414260032"/>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14259640"/>
        <c:crosses val="autoZero"/>
        <c:crossBetween val="between"/>
      </c:valAx>
      <c:spPr>
        <a:noFill/>
        <a:ln w="25400">
          <a:noFill/>
        </a:ln>
      </c:spPr>
    </c:plotArea>
    <c:legend>
      <c:legendPos val="r"/>
      <c:layout>
        <c:manualLayout>
          <c:xMode val="edge"/>
          <c:yMode val="edge"/>
          <c:x val="0.41657198790745215"/>
          <c:y val="0.91237111416118866"/>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122270.5</c:v>
                </c:pt>
                <c:pt idx="1">
                  <c:v>750199.82</c:v>
                </c:pt>
                <c:pt idx="2">
                  <c:v>908729.67999999993</c:v>
                </c:pt>
                <c:pt idx="3">
                  <c:v>1719692.68</c:v>
                </c:pt>
                <c:pt idx="4">
                  <c:v>2055435.96</c:v>
                </c:pt>
                <c:pt idx="5">
                  <c:v>3212688</c:v>
                </c:pt>
                <c:pt idx="6">
                  <c:v>0</c:v>
                </c:pt>
                <c:pt idx="7">
                  <c:v>0</c:v>
                </c:pt>
                <c:pt idx="8">
                  <c:v>0</c:v>
                </c:pt>
                <c:pt idx="9">
                  <c:v>0</c:v>
                </c:pt>
                <c:pt idx="10">
                  <c:v>0</c:v>
                </c:pt>
              </c:numCache>
            </c:numRef>
          </c:val>
          <c:extLst>
            <c:ext xmlns:c16="http://schemas.microsoft.com/office/drawing/2014/chart" uri="{C3380CC4-5D6E-409C-BE32-E72D297353CC}">
              <c16:uniqueId val="{00000000-F458-4A6A-B884-E0A5B27186DF}"/>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1558295</c:v>
                </c:pt>
                <c:pt idx="2">
                  <c:v>1558295</c:v>
                </c:pt>
                <c:pt idx="3">
                  <c:v>2383436</c:v>
                </c:pt>
                <c:pt idx="4">
                  <c:v>2621981</c:v>
                </c:pt>
                <c:pt idx="5">
                  <c:v>3121042.26</c:v>
                </c:pt>
                <c:pt idx="6">
                  <c:v>0</c:v>
                </c:pt>
                <c:pt idx="7">
                  <c:v>0</c:v>
                </c:pt>
                <c:pt idx="8">
                  <c:v>0</c:v>
                </c:pt>
                <c:pt idx="9">
                  <c:v>0</c:v>
                </c:pt>
                <c:pt idx="10">
                  <c:v>0</c:v>
                </c:pt>
              </c:numCache>
            </c:numRef>
          </c:val>
          <c:extLst>
            <c:ext xmlns:c16="http://schemas.microsoft.com/office/drawing/2014/chart" uri="{C3380CC4-5D6E-409C-BE32-E72D297353CC}">
              <c16:uniqueId val="{00000001-F458-4A6A-B884-E0A5B27186DF}"/>
            </c:ext>
          </c:extLst>
        </c:ser>
        <c:dLbls>
          <c:showLegendKey val="0"/>
          <c:showVal val="0"/>
          <c:showCatName val="0"/>
          <c:showSerName val="0"/>
          <c:showPercent val="0"/>
          <c:showBubbleSize val="0"/>
        </c:dLbls>
        <c:dropLines>
          <c:spPr>
            <a:ln w="3175">
              <a:solidFill>
                <a:srgbClr val="000000"/>
              </a:solidFill>
              <a:prstDash val="solid"/>
            </a:ln>
          </c:spPr>
        </c:dropLines>
        <c:axId val="414969448"/>
        <c:axId val="414969840"/>
      </c:areaChart>
      <c:catAx>
        <c:axId val="414969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14969840"/>
        <c:crosses val="autoZero"/>
        <c:auto val="1"/>
        <c:lblAlgn val="ctr"/>
        <c:lblOffset val="100"/>
        <c:tickLblSkip val="8"/>
        <c:tickMarkSkip val="1"/>
        <c:noMultiLvlLbl val="0"/>
      </c:catAx>
      <c:valAx>
        <c:axId val="41496984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1496944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2621981</c:v>
                </c:pt>
                <c:pt idx="1">
                  <c:v>2406303.2599999998</c:v>
                </c:pt>
                <c:pt idx="2">
                  <c:v>0</c:v>
                </c:pt>
                <c:pt idx="3">
                  <c:v>0</c:v>
                </c:pt>
              </c:numCache>
            </c:numRef>
          </c:val>
          <c:extLst>
            <c:ext xmlns:c16="http://schemas.microsoft.com/office/drawing/2014/chart" uri="{C3380CC4-5D6E-409C-BE32-E72D297353CC}">
              <c16:uniqueId val="{00000000-3EFB-4E1C-993A-0DE8FB720344}"/>
            </c:ext>
          </c:extLst>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499061.26</c:v>
                </c:pt>
                <c:pt idx="1">
                  <c:v>1095930.58</c:v>
                </c:pt>
                <c:pt idx="2">
                  <c:v>0</c:v>
                </c:pt>
                <c:pt idx="3">
                  <c:v>0</c:v>
                </c:pt>
              </c:numCache>
            </c:numRef>
          </c:val>
          <c:extLst>
            <c:ext xmlns:c16="http://schemas.microsoft.com/office/drawing/2014/chart" uri="{C3380CC4-5D6E-409C-BE32-E72D297353CC}">
              <c16:uniqueId val="{00000001-3EFB-4E1C-993A-0DE8FB720344}"/>
            </c:ext>
          </c:extLst>
        </c:ser>
        <c:dLbls>
          <c:showLegendKey val="0"/>
          <c:showVal val="0"/>
          <c:showCatName val="0"/>
          <c:showSerName val="0"/>
          <c:showPercent val="0"/>
          <c:showBubbleSize val="0"/>
        </c:dLbls>
        <c:gapWidth val="150"/>
        <c:overlap val="100"/>
        <c:axId val="317176872"/>
        <c:axId val="317177264"/>
      </c:barChart>
      <c:catAx>
        <c:axId val="3171768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17177264"/>
        <c:crossesAt val="0"/>
        <c:auto val="1"/>
        <c:lblAlgn val="ctr"/>
        <c:lblOffset val="100"/>
        <c:noMultiLvlLbl val="0"/>
      </c:catAx>
      <c:valAx>
        <c:axId val="31717726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31717687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41173.67</c:v>
                </c:pt>
                <c:pt idx="1">
                  <c:v>2175607.9900000002</c:v>
                </c:pt>
                <c:pt idx="2">
                  <c:v>70577.929999999993</c:v>
                </c:pt>
                <c:pt idx="3">
                  <c:v>415851.41</c:v>
                </c:pt>
                <c:pt idx="4">
                  <c:v>0</c:v>
                </c:pt>
              </c:numCache>
            </c:numRef>
          </c:val>
          <c:extLst>
            <c:ext xmlns:c16="http://schemas.microsoft.com/office/drawing/2014/chart" uri="{C3380CC4-5D6E-409C-BE32-E72D297353CC}">
              <c16:uniqueId val="{00000000-AAB3-453B-B7A6-8E2DE3788F9A}"/>
            </c:ext>
          </c:extLst>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0">
                  <c:v>38685.25</c:v>
                </c:pt>
                <c:pt idx="1">
                  <c:v>2170882.16</c:v>
                </c:pt>
                <c:pt idx="2">
                  <c:v>65517.15</c:v>
                </c:pt>
                <c:pt idx="3">
                  <c:v>420175.11</c:v>
                </c:pt>
                <c:pt idx="4">
                  <c:v>401563.73</c:v>
                </c:pt>
              </c:numCache>
            </c:numRef>
          </c:val>
          <c:extLst>
            <c:ext xmlns:c16="http://schemas.microsoft.com/office/drawing/2014/chart" uri="{C3380CC4-5D6E-409C-BE32-E72D297353CC}">
              <c16:uniqueId val="{00000001-AAB3-453B-B7A6-8E2DE3788F9A}"/>
            </c:ext>
          </c:extLst>
        </c:ser>
        <c:dLbls>
          <c:showLegendKey val="0"/>
          <c:showVal val="0"/>
          <c:showCatName val="0"/>
          <c:showSerName val="0"/>
          <c:showPercent val="0"/>
          <c:showBubbleSize val="0"/>
        </c:dLbls>
        <c:gapWidth val="150"/>
        <c:axId val="413786760"/>
        <c:axId val="413787152"/>
      </c:barChart>
      <c:catAx>
        <c:axId val="413786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13787152"/>
        <c:crosses val="autoZero"/>
        <c:auto val="1"/>
        <c:lblAlgn val="ctr"/>
        <c:lblOffset val="100"/>
        <c:tickMarkSkip val="1"/>
        <c:noMultiLvlLbl val="0"/>
      </c:catAx>
      <c:valAx>
        <c:axId val="4137871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1378676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tx>
                <c:rich>
                  <a:bodyPr/>
                  <a:lstStyle/>
                  <a:p>
                    <a:pPr>
                      <a:defRPr sz="1000" b="1" i="0" u="none" strike="noStrike" baseline="0">
                        <a:solidFill>
                          <a:srgbClr val="000000"/>
                        </a:solidFill>
                        <a:latin typeface="Calibri"/>
                        <a:ea typeface="Calibri"/>
                        <a:cs typeface="Calibri"/>
                      </a:defRPr>
                    </a:pPr>
                    <a:fld id="{5CA25228-860B-43D0-A083-95C257CCC967}" type="SERIESNAME">
                      <a:rPr lang="en-US"/>
                      <a:pPr>
                        <a:defRPr sz="1000" b="1" i="0" u="none" strike="noStrike" baseline="0">
                          <a:solidFill>
                            <a:srgbClr val="000000"/>
                          </a:solidFill>
                          <a:latin typeface="Calibri"/>
                          <a:ea typeface="Calibri"/>
                          <a:cs typeface="Calibri"/>
                        </a:defRPr>
                      </a:pPr>
                      <a:t>[SERIES NAME]</a:t>
                    </a:fld>
                    <a:r>
                      <a:rPr lang="en-US" baseline="0"/>
                      <a:t>,4.</a:t>
                    </a:r>
                    <a:fld id="{CB3AA6D5-1327-49C2-BD87-76B807C93E1E}" type="VALUE">
                      <a:rPr lang="en-US" baseline="0"/>
                      <a:pPr>
                        <a:defRPr sz="1000" b="1" i="0" u="none" strike="noStrike" baseline="0">
                          <a:solidFill>
                            <a:srgbClr val="000000"/>
                          </a:solidFill>
                          <a:latin typeface="Calibri"/>
                          <a:ea typeface="Calibri"/>
                          <a:cs typeface="Calibri"/>
                        </a:defRPr>
                      </a:pPr>
                      <a:t>[VALUE]</a:t>
                    </a:fld>
                    <a:endParaRPr lang="en-US" baseline="0"/>
                  </a:p>
                </c:rich>
              </c:tx>
              <c:numFmt formatCode="#,##0" sourceLinked="0"/>
              <c:spPr>
                <a:noFill/>
                <a:ln w="25400">
                  <a:noFill/>
                </a:ln>
              </c:spPr>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AA1D-4076-87DB-08D0A3FF785A}"/>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4.5</c:v>
                </c:pt>
              </c:numCache>
            </c:numRef>
          </c:val>
          <c:extLst>
            <c:ext xmlns:c16="http://schemas.microsoft.com/office/drawing/2014/chart" uri="{C3380CC4-5D6E-409C-BE32-E72D297353CC}">
              <c16:uniqueId val="{00000001-AA1D-4076-87DB-08D0A3FF785A}"/>
            </c:ext>
          </c:extLst>
        </c:ser>
        <c:dLbls>
          <c:showLegendKey val="0"/>
          <c:showVal val="0"/>
          <c:showCatName val="0"/>
          <c:showSerName val="0"/>
          <c:showPercent val="0"/>
          <c:showBubbleSize val="0"/>
        </c:dLbls>
        <c:gapWidth val="79"/>
        <c:overlap val="100"/>
        <c:axId val="413789896"/>
        <c:axId val="413790288"/>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dLbl>
              <c:idx val="0"/>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1D-4076-87DB-08D0A3FF785A}"/>
                </c:ext>
              </c:extLst>
            </c:dLbl>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4.5</c:v>
                </c:pt>
              </c:numCache>
            </c:numRef>
          </c:val>
          <c:extLst>
            <c:ext xmlns:c16="http://schemas.microsoft.com/office/drawing/2014/chart" uri="{C3380CC4-5D6E-409C-BE32-E72D297353CC}">
              <c16:uniqueId val="{00000003-AA1D-4076-87DB-08D0A3FF785A}"/>
            </c:ext>
          </c:extLst>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0</c:v>
                </c:pt>
              </c:numCache>
            </c:numRef>
          </c:val>
          <c:extLst>
            <c:ext xmlns:c16="http://schemas.microsoft.com/office/drawing/2014/chart" uri="{C3380CC4-5D6E-409C-BE32-E72D297353CC}">
              <c16:uniqueId val="{00000004-AA1D-4076-87DB-08D0A3FF785A}"/>
            </c:ext>
          </c:extLst>
        </c:ser>
        <c:dLbls>
          <c:showLegendKey val="0"/>
          <c:showVal val="0"/>
          <c:showCatName val="0"/>
          <c:showSerName val="0"/>
          <c:showPercent val="0"/>
          <c:showBubbleSize val="0"/>
        </c:dLbls>
        <c:gapWidth val="191"/>
        <c:overlap val="100"/>
        <c:axId val="413961296"/>
        <c:axId val="413961688"/>
      </c:barChart>
      <c:catAx>
        <c:axId val="413789896"/>
        <c:scaling>
          <c:orientation val="minMax"/>
        </c:scaling>
        <c:delete val="1"/>
        <c:axPos val="l"/>
        <c:majorTickMark val="out"/>
        <c:minorTickMark val="none"/>
        <c:tickLblPos val="none"/>
        <c:crossAx val="413790288"/>
        <c:crosses val="autoZero"/>
        <c:auto val="1"/>
        <c:lblAlgn val="ctr"/>
        <c:lblOffset val="100"/>
        <c:noMultiLvlLbl val="0"/>
      </c:catAx>
      <c:valAx>
        <c:axId val="4137902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13789896"/>
        <c:crosses val="max"/>
        <c:crossBetween val="between"/>
      </c:valAx>
      <c:catAx>
        <c:axId val="413961296"/>
        <c:scaling>
          <c:orientation val="minMax"/>
        </c:scaling>
        <c:delete val="1"/>
        <c:axPos val="l"/>
        <c:majorTickMark val="out"/>
        <c:minorTickMark val="none"/>
        <c:tickLblPos val="none"/>
        <c:crossAx val="413961688"/>
        <c:crosses val="autoZero"/>
        <c:auto val="0"/>
        <c:lblAlgn val="ctr"/>
        <c:lblOffset val="100"/>
        <c:noMultiLvlLbl val="0"/>
      </c:catAx>
      <c:valAx>
        <c:axId val="413961688"/>
        <c:scaling>
          <c:orientation val="minMax"/>
        </c:scaling>
        <c:delete val="0"/>
        <c:axPos val="b"/>
        <c:numFmt formatCode="0%" sourceLinked="1"/>
        <c:majorTickMark val="none"/>
        <c:minorTickMark val="none"/>
        <c:tickLblPos val="none"/>
        <c:spPr>
          <a:ln w="3175">
            <a:solidFill>
              <a:srgbClr val="000000"/>
            </a:solidFill>
            <a:prstDash val="solid"/>
          </a:ln>
        </c:spPr>
        <c:crossAx val="413961296"/>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0</c:v>
                </c:pt>
              </c:numCache>
            </c:numRef>
          </c:val>
          <c:extLst>
            <c:ext xmlns:c16="http://schemas.microsoft.com/office/drawing/2014/chart" uri="{C3380CC4-5D6E-409C-BE32-E72D297353CC}">
              <c16:uniqueId val="{00000000-D676-4C5A-A309-B17D2CF4FFA6}"/>
            </c:ext>
          </c:extLst>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0</c:v>
                </c:pt>
              </c:numCache>
            </c:numRef>
          </c:val>
          <c:extLst>
            <c:ext xmlns:c16="http://schemas.microsoft.com/office/drawing/2014/chart" uri="{C3380CC4-5D6E-409C-BE32-E72D297353CC}">
              <c16:uniqueId val="{00000001-D676-4C5A-A309-B17D2CF4FFA6}"/>
            </c:ext>
          </c:extLst>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0</c:v>
                </c:pt>
              </c:numCache>
            </c:numRef>
          </c:val>
          <c:extLst>
            <c:ext xmlns:c16="http://schemas.microsoft.com/office/drawing/2014/chart" uri="{C3380CC4-5D6E-409C-BE32-E72D297353CC}">
              <c16:uniqueId val="{00000002-D676-4C5A-A309-B17D2CF4FFA6}"/>
            </c:ext>
          </c:extLst>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0</c:v>
                </c:pt>
              </c:numCache>
            </c:numRef>
          </c:val>
          <c:extLst>
            <c:ext xmlns:c16="http://schemas.microsoft.com/office/drawing/2014/chart" uri="{C3380CC4-5D6E-409C-BE32-E72D297353CC}">
              <c16:uniqueId val="{00000003-D676-4C5A-A309-B17D2CF4FFA6}"/>
            </c:ext>
          </c:extLst>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0</c:v>
                </c:pt>
              </c:numCache>
            </c:numRef>
          </c:val>
          <c:extLst>
            <c:ext xmlns:c16="http://schemas.microsoft.com/office/drawing/2014/chart" uri="{C3380CC4-5D6E-409C-BE32-E72D297353CC}">
              <c16:uniqueId val="{00000004-D676-4C5A-A309-B17D2CF4FFA6}"/>
            </c:ext>
          </c:extLst>
        </c:ser>
        <c:dLbls>
          <c:showLegendKey val="0"/>
          <c:showVal val="0"/>
          <c:showCatName val="0"/>
          <c:showSerName val="0"/>
          <c:showPercent val="0"/>
          <c:showBubbleSize val="0"/>
        </c:dLbls>
        <c:gapWidth val="150"/>
        <c:overlap val="-20"/>
        <c:axId val="413962864"/>
        <c:axId val="413963256"/>
      </c:barChart>
      <c:catAx>
        <c:axId val="413962864"/>
        <c:scaling>
          <c:orientation val="minMax"/>
        </c:scaling>
        <c:delete val="0"/>
        <c:axPos val="b"/>
        <c:majorTickMark val="none"/>
        <c:minorTickMark val="none"/>
        <c:tickLblPos val="none"/>
        <c:spPr>
          <a:ln w="3175">
            <a:solidFill>
              <a:srgbClr val="000000"/>
            </a:solidFill>
            <a:prstDash val="solid"/>
          </a:ln>
        </c:spPr>
        <c:crossAx val="413963256"/>
        <c:crosses val="autoZero"/>
        <c:auto val="0"/>
        <c:lblAlgn val="ctr"/>
        <c:lblOffset val="100"/>
        <c:tickMarkSkip val="1"/>
        <c:noMultiLvlLbl val="0"/>
      </c:catAx>
      <c:valAx>
        <c:axId val="413963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3962864"/>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1</c:v>
                </c:pt>
              </c:numCache>
            </c:numRef>
          </c:val>
          <c:extLst>
            <c:ext xmlns:c16="http://schemas.microsoft.com/office/drawing/2014/chart" uri="{C3380CC4-5D6E-409C-BE32-E72D297353CC}">
              <c16:uniqueId val="{00000000-F1FA-4761-8B80-B4BB308A039C}"/>
            </c:ext>
          </c:extLst>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1</c:v>
                </c:pt>
              </c:numCache>
            </c:numRef>
          </c:val>
          <c:extLst>
            <c:ext xmlns:c16="http://schemas.microsoft.com/office/drawing/2014/chart" uri="{C3380CC4-5D6E-409C-BE32-E72D297353CC}">
              <c16:uniqueId val="{00000001-F1FA-4761-8B80-B4BB308A039C}"/>
            </c:ext>
          </c:extLst>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1">
                  <c:v>1</c:v>
                </c:pt>
              </c:numCache>
            </c:numRef>
          </c:val>
          <c:extLst>
            <c:ext xmlns:c16="http://schemas.microsoft.com/office/drawing/2014/chart" uri="{C3380CC4-5D6E-409C-BE32-E72D297353CC}">
              <c16:uniqueId val="{00000002-F1FA-4761-8B80-B4BB308A039C}"/>
            </c:ext>
          </c:extLst>
        </c:ser>
        <c:dLbls>
          <c:showLegendKey val="0"/>
          <c:showVal val="0"/>
          <c:showCatName val="0"/>
          <c:showSerName val="0"/>
          <c:showPercent val="0"/>
          <c:showBubbleSize val="0"/>
        </c:dLbls>
        <c:gapWidth val="70"/>
        <c:overlap val="100"/>
        <c:axId val="413789504"/>
        <c:axId val="413789112"/>
      </c:barChart>
      <c:catAx>
        <c:axId val="413789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3789112"/>
        <c:crosses val="autoZero"/>
        <c:auto val="1"/>
        <c:lblAlgn val="ctr"/>
        <c:lblOffset val="100"/>
        <c:tickLblSkip val="1"/>
        <c:tickMarkSkip val="1"/>
        <c:noMultiLvlLbl val="0"/>
      </c:catAx>
      <c:valAx>
        <c:axId val="41378911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378950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extLst>
            <c:ext xmlns:c16="http://schemas.microsoft.com/office/drawing/2014/chart" uri="{C3380CC4-5D6E-409C-BE32-E72D297353CC}">
              <c16:uniqueId val="{00000000-70B1-4796-AD9A-0CB5DB94BC14}"/>
            </c:ext>
          </c:extLst>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extLst>
            <c:ext xmlns:c16="http://schemas.microsoft.com/office/drawing/2014/chart" uri="{C3380CC4-5D6E-409C-BE32-E72D297353CC}">
              <c16:uniqueId val="{00000001-70B1-4796-AD9A-0CB5DB94BC14}"/>
            </c:ext>
          </c:extLst>
        </c:ser>
        <c:dLbls>
          <c:showLegendKey val="0"/>
          <c:showVal val="0"/>
          <c:showCatName val="0"/>
          <c:showSerName val="0"/>
          <c:showPercent val="0"/>
          <c:showBubbleSize val="0"/>
        </c:dLbls>
        <c:gapWidth val="101"/>
        <c:overlap val="100"/>
        <c:axId val="413788328"/>
        <c:axId val="413964040"/>
      </c:barChart>
      <c:catAx>
        <c:axId val="413788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13964040"/>
        <c:crosses val="autoZero"/>
        <c:auto val="1"/>
        <c:lblAlgn val="ctr"/>
        <c:lblOffset val="100"/>
        <c:noMultiLvlLbl val="0"/>
      </c:catAx>
      <c:valAx>
        <c:axId val="4139640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13788328"/>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840</c:v>
                </c:pt>
                <c:pt idx="1">
                  <c:v>483486.77</c:v>
                </c:pt>
                <c:pt idx="2">
                  <c:v>545661.6</c:v>
                </c:pt>
                <c:pt idx="3">
                  <c:v>1254958.54</c:v>
                </c:pt>
                <c:pt idx="4">
                  <c:v>1425231.27</c:v>
                </c:pt>
                <c:pt idx="5">
                  <c:v>2078693.23</c:v>
                </c:pt>
                <c:pt idx="6">
                  <c:v>2078693.23</c:v>
                </c:pt>
                <c:pt idx="7">
                  <c:v>2078693.23</c:v>
                </c:pt>
                <c:pt idx="8">
                  <c:v>2078693.23</c:v>
                </c:pt>
                <c:pt idx="9">
                  <c:v>2078693.23</c:v>
                </c:pt>
                <c:pt idx="10">
                  <c:v>2078693.23</c:v>
                </c:pt>
                <c:pt idx="11">
                  <c:v>2078693.23</c:v>
                </c:pt>
              </c:numCache>
            </c:numRef>
          </c:val>
          <c:smooth val="0"/>
          <c:extLst>
            <c:ext xmlns:c16="http://schemas.microsoft.com/office/drawing/2014/chart" uri="{C3380CC4-5D6E-409C-BE32-E72D297353CC}">
              <c16:uniqueId val="{00000000-E1BF-4CE2-AB5D-03D2C9B5D36D}"/>
            </c:ext>
          </c:extLst>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495357.93</c:v>
                </c:pt>
                <c:pt idx="2">
                  <c:v>570099.30000000005</c:v>
                </c:pt>
                <c:pt idx="3">
                  <c:v>1579120.3</c:v>
                </c:pt>
                <c:pt idx="4">
                  <c:v>1807015.02</c:v>
                </c:pt>
                <c:pt idx="5">
                  <c:v>2138844.9500000002</c:v>
                </c:pt>
                <c:pt idx="6">
                  <c:v>2138844.9500000002</c:v>
                </c:pt>
                <c:pt idx="7">
                  <c:v>2138844.9500000002</c:v>
                </c:pt>
                <c:pt idx="8">
                  <c:v>2138844.9500000002</c:v>
                </c:pt>
                <c:pt idx="9">
                  <c:v>2138844.9500000002</c:v>
                </c:pt>
                <c:pt idx="10">
                  <c:v>2138844.9500000002</c:v>
                </c:pt>
                <c:pt idx="11">
                  <c:v>2138844.9500000002</c:v>
                </c:pt>
              </c:numCache>
            </c:numRef>
          </c:val>
          <c:smooth val="0"/>
          <c:extLst>
            <c:ext xmlns:c16="http://schemas.microsoft.com/office/drawing/2014/chart" uri="{C3380CC4-5D6E-409C-BE32-E72D297353CC}">
              <c16:uniqueId val="{00000001-E1BF-4CE2-AB5D-03D2C9B5D36D}"/>
            </c:ext>
          </c:extLst>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828134.17</c:v>
                </c:pt>
                <c:pt idx="2">
                  <c:v>890351.83000000007</c:v>
                </c:pt>
                <c:pt idx="3">
                  <c:v>1599648.67</c:v>
                </c:pt>
                <c:pt idx="4">
                  <c:v>1757954.15</c:v>
                </c:pt>
                <c:pt idx="5">
                  <c:v>2451128.0299999998</c:v>
                </c:pt>
                <c:pt idx="6">
                  <c:v>2451128.0299999998</c:v>
                </c:pt>
                <c:pt idx="7">
                  <c:v>2451128.0299999998</c:v>
                </c:pt>
                <c:pt idx="8">
                  <c:v>2451128.0299999998</c:v>
                </c:pt>
                <c:pt idx="9">
                  <c:v>2451128.0299999998</c:v>
                </c:pt>
                <c:pt idx="10">
                  <c:v>2451128.0299999998</c:v>
                </c:pt>
                <c:pt idx="11">
                  <c:v>2451128.0299999998</c:v>
                </c:pt>
              </c:numCache>
            </c:numRef>
          </c:val>
          <c:smooth val="0"/>
          <c:extLst>
            <c:ext xmlns:c16="http://schemas.microsoft.com/office/drawing/2014/chart" uri="{C3380CC4-5D6E-409C-BE32-E72D297353CC}">
              <c16:uniqueId val="{00000002-E1BF-4CE2-AB5D-03D2C9B5D36D}"/>
            </c:ext>
          </c:extLst>
        </c:ser>
        <c:dLbls>
          <c:showLegendKey val="0"/>
          <c:showVal val="0"/>
          <c:showCatName val="0"/>
          <c:showSerName val="0"/>
          <c:showPercent val="0"/>
          <c:showBubbleSize val="0"/>
        </c:dLbls>
        <c:marker val="1"/>
        <c:smooth val="0"/>
        <c:axId val="413964824"/>
        <c:axId val="414256504"/>
      </c:lineChart>
      <c:catAx>
        <c:axId val="4139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14256504"/>
        <c:crosses val="autoZero"/>
        <c:auto val="1"/>
        <c:lblAlgn val="ctr"/>
        <c:lblOffset val="100"/>
        <c:tickLblSkip val="1"/>
        <c:tickMarkSkip val="1"/>
        <c:noMultiLvlLbl val="0"/>
      </c:catAx>
      <c:valAx>
        <c:axId val="4142565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13964824"/>
        <c:crosses val="autoZero"/>
        <c:crossBetween val="between"/>
      </c:valAx>
      <c:spPr>
        <a:solidFill>
          <a:srgbClr val="FFFFFF"/>
        </a:solidFill>
        <a:ln w="12700">
          <a:solidFill>
            <a:srgbClr val="808080"/>
          </a:solidFill>
          <a:prstDash val="solid"/>
        </a:ln>
      </c:spPr>
    </c:plotArea>
    <c:legend>
      <c:legendPos val="r"/>
      <c:layout>
        <c:manualLayout>
          <c:xMode val="edge"/>
          <c:yMode val="edge"/>
          <c:x val="7.2139303482587069E-2"/>
          <c:y val="0.8212598425196852"/>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c:formatCode>
                <c:ptCount val="12"/>
                <c:pt idx="0">
                  <c:v>0.95</c:v>
                </c:pt>
                <c:pt idx="1">
                  <c:v>0.95</c:v>
                </c:pt>
                <c:pt idx="2">
                  <c:v>0.95</c:v>
                </c:pt>
                <c:pt idx="3">
                  <c:v>0.95</c:v>
                </c:pt>
                <c:pt idx="4">
                  <c:v>0.95</c:v>
                </c:pt>
                <c:pt idx="5">
                  <c:v>0.95</c:v>
                </c:pt>
              </c:numCache>
            </c:numRef>
          </c:val>
          <c:extLst>
            <c:ext xmlns:c16="http://schemas.microsoft.com/office/drawing/2014/chart" uri="{C3380CC4-5D6E-409C-BE32-E72D297353CC}">
              <c16:uniqueId val="{00000000-99D2-4B7E-AF6A-1B4CCD256717}"/>
            </c:ext>
          </c:extLst>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c:formatCode>
                <c:ptCount val="12"/>
                <c:pt idx="0">
                  <c:v>0.91</c:v>
                </c:pt>
                <c:pt idx="1">
                  <c:v>0.97</c:v>
                </c:pt>
                <c:pt idx="2">
                  <c:v>0.96</c:v>
                </c:pt>
                <c:pt idx="3" formatCode="0.0%">
                  <c:v>0.97019999999999995</c:v>
                </c:pt>
                <c:pt idx="4">
                  <c:v>0.98899999999999999</c:v>
                </c:pt>
                <c:pt idx="5" formatCode="0.0%">
                  <c:v>0.93600000000000005</c:v>
                </c:pt>
              </c:numCache>
            </c:numRef>
          </c:val>
          <c:extLst>
            <c:ext xmlns:c16="http://schemas.microsoft.com/office/drawing/2014/chart" uri="{C3380CC4-5D6E-409C-BE32-E72D297353CC}">
              <c16:uniqueId val="{00000001-99D2-4B7E-AF6A-1B4CCD256717}"/>
            </c:ext>
          </c:extLst>
        </c:ser>
        <c:dLbls>
          <c:showLegendKey val="0"/>
          <c:showVal val="0"/>
          <c:showCatName val="0"/>
          <c:showSerName val="0"/>
          <c:showPercent val="0"/>
          <c:showBubbleSize val="0"/>
        </c:dLbls>
        <c:gapWidth val="150"/>
        <c:axId val="413962472"/>
        <c:axId val="414257288"/>
      </c:barChart>
      <c:catAx>
        <c:axId val="413962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14257288"/>
        <c:crosses val="autoZero"/>
        <c:auto val="1"/>
        <c:lblAlgn val="ctr"/>
        <c:lblOffset val="100"/>
        <c:tickLblSkip val="1"/>
        <c:tickMarkSkip val="1"/>
        <c:noMultiLvlLbl val="0"/>
      </c:catAx>
      <c:valAx>
        <c:axId val="414257288"/>
        <c:scaling>
          <c:orientation val="minMax"/>
          <c:max val="1"/>
          <c:min val="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a:solidFill>
              <a:srgbClr val="000000"/>
            </a:solidFill>
          </a:ln>
        </c:spPr>
        <c:txPr>
          <a:bodyPr rot="0" vert="horz"/>
          <a:lstStyle/>
          <a:p>
            <a:pPr>
              <a:defRPr sz="475" b="0" i="0" u="none" strike="noStrike" baseline="0">
                <a:solidFill>
                  <a:srgbClr val="000000"/>
                </a:solidFill>
                <a:latin typeface="Arial"/>
                <a:ea typeface="Arial"/>
                <a:cs typeface="Arial"/>
              </a:defRPr>
            </a:pPr>
            <a:endParaRPr lang="en-US"/>
          </a:p>
        </c:txPr>
        <c:crossAx val="413962472"/>
        <c:crosses val="autoZero"/>
        <c:crossBetween val="between"/>
      </c:valAx>
      <c:spPr>
        <a:noFill/>
        <a:ln w="25400">
          <a:noFill/>
        </a:ln>
      </c:spPr>
    </c:plotArea>
    <c:legend>
      <c:legendPos val="r"/>
      <c:layout>
        <c:manualLayout>
          <c:xMode val="edge"/>
          <c:yMode val="edge"/>
          <c:x val="0.41431537552651282"/>
          <c:y val="0.911916978119670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a:extLst>
            <a:ext uri="{FF2B5EF4-FFF2-40B4-BE49-F238E27FC236}">
              <a16:creationId xmlns:a16="http://schemas.microsoft.com/office/drawing/2014/main" id="{00000000-0008-0000-0000-0000303134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a:extLst>
            <a:ext uri="{FF2B5EF4-FFF2-40B4-BE49-F238E27FC236}">
              <a16:creationId xmlns:a16="http://schemas.microsoft.com/office/drawing/2014/main" id="{00000000-0008-0000-0000-0000313134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a:extLst>
            <a:ext uri="{FF2B5EF4-FFF2-40B4-BE49-F238E27FC236}">
              <a16:creationId xmlns:a16="http://schemas.microsoft.com/office/drawing/2014/main" id="{00000000-0008-0000-0000-0000323134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a:extLst>
            <a:ext uri="{FF2B5EF4-FFF2-40B4-BE49-F238E27FC236}">
              <a16:creationId xmlns:a16="http://schemas.microsoft.com/office/drawing/2014/main" id="{00000000-0008-0000-0000-000033313400}"/>
            </a:ext>
          </a:extLst>
        </xdr:cNvPr>
        <xdr:cNvGrpSpPr>
          <a:grpSpLocks/>
        </xdr:cNvGrpSpPr>
      </xdr:nvGrpSpPr>
      <xdr:grpSpPr bwMode="auto">
        <a:xfrm>
          <a:off x="3413125" y="2436813"/>
          <a:ext cx="1009650" cy="371475"/>
          <a:chOff x="1200" y="1912"/>
          <a:chExt cx="3456" cy="774"/>
        </a:xfrm>
      </xdr:grpSpPr>
      <xdr:sp macro="" textlink="">
        <xdr:nvSpPr>
          <xdr:cNvPr id="2418361" name="AutoShape 26">
            <a:extLst>
              <a:ext uri="{FF2B5EF4-FFF2-40B4-BE49-F238E27FC236}">
                <a16:creationId xmlns:a16="http://schemas.microsoft.com/office/drawing/2014/main" id="{00000000-0008-0000-0000-0000B9E624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a:extLst>
            <a:ext uri="{FF2B5EF4-FFF2-40B4-BE49-F238E27FC236}">
              <a16:creationId xmlns:a16="http://schemas.microsoft.com/office/drawing/2014/main" id="{00000000-0008-0000-0000-000034313400}"/>
            </a:ext>
          </a:extLst>
        </xdr:cNvPr>
        <xdr:cNvGrpSpPr>
          <a:grpSpLocks/>
        </xdr:cNvGrpSpPr>
      </xdr:nvGrpSpPr>
      <xdr:grpSpPr bwMode="auto">
        <a:xfrm>
          <a:off x="3451225" y="3513138"/>
          <a:ext cx="1066800" cy="371475"/>
          <a:chOff x="1200" y="1912"/>
          <a:chExt cx="3456" cy="774"/>
        </a:xfrm>
      </xdr:grpSpPr>
      <xdr:sp macro="" textlink="">
        <xdr:nvSpPr>
          <xdr:cNvPr id="2418358" name="AutoShape 26">
            <a:extLst>
              <a:ext uri="{FF2B5EF4-FFF2-40B4-BE49-F238E27FC236}">
                <a16:creationId xmlns:a16="http://schemas.microsoft.com/office/drawing/2014/main" id="{00000000-0008-0000-0000-0000B6E624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a:extLst>
            <a:ext uri="{FF2B5EF4-FFF2-40B4-BE49-F238E27FC236}">
              <a16:creationId xmlns:a16="http://schemas.microsoft.com/office/drawing/2014/main" id="{00000000-0008-0000-0000-000035313400}"/>
            </a:ext>
          </a:extLst>
        </xdr:cNvPr>
        <xdr:cNvGrpSpPr>
          <a:grpSpLocks/>
        </xdr:cNvGrpSpPr>
      </xdr:nvGrpSpPr>
      <xdr:grpSpPr bwMode="auto">
        <a:xfrm>
          <a:off x="3413125" y="2970213"/>
          <a:ext cx="1066800" cy="371475"/>
          <a:chOff x="1200" y="1912"/>
          <a:chExt cx="3456" cy="774"/>
        </a:xfrm>
      </xdr:grpSpPr>
      <xdr:sp macro="" textlink="">
        <xdr:nvSpPr>
          <xdr:cNvPr id="2418355" name="AutoShape 26">
            <a:extLst>
              <a:ext uri="{FF2B5EF4-FFF2-40B4-BE49-F238E27FC236}">
                <a16:creationId xmlns:a16="http://schemas.microsoft.com/office/drawing/2014/main" id="{00000000-0008-0000-0000-0000B3E624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a:extLst>
            <a:ext uri="{FF2B5EF4-FFF2-40B4-BE49-F238E27FC236}">
              <a16:creationId xmlns:a16="http://schemas.microsoft.com/office/drawing/2014/main" id="{00000000-0008-0000-0000-000037313400}"/>
            </a:ext>
          </a:extLst>
        </xdr:cNvPr>
        <xdr:cNvGrpSpPr>
          <a:grpSpLocks/>
        </xdr:cNvGrpSpPr>
      </xdr:nvGrpSpPr>
      <xdr:grpSpPr bwMode="auto">
        <a:xfrm>
          <a:off x="5708650" y="2579688"/>
          <a:ext cx="1501775" cy="409575"/>
          <a:chOff x="599" y="262"/>
          <a:chExt cx="158" cy="43"/>
        </a:xfrm>
      </xdr:grpSpPr>
      <xdr:sp macro="" textlink="">
        <xdr:nvSpPr>
          <xdr:cNvPr id="2418351" name="AutoShape 30">
            <a:extLst>
              <a:ext uri="{FF2B5EF4-FFF2-40B4-BE49-F238E27FC236}">
                <a16:creationId xmlns:a16="http://schemas.microsoft.com/office/drawing/2014/main" id="{00000000-0008-0000-0000-0000AFE624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a:extLst>
              <a:ext uri="{FF2B5EF4-FFF2-40B4-BE49-F238E27FC236}">
                <a16:creationId xmlns:a16="http://schemas.microsoft.com/office/drawing/2014/main" id="{00000000-0008-0000-0000-0000563134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a:extLst>
                <a:ext uri="{FF2B5EF4-FFF2-40B4-BE49-F238E27FC236}">
                  <a16:creationId xmlns:a16="http://schemas.microsoft.com/office/drawing/2014/main" id="{00000000-0008-0000-0000-0000583134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a:extLst>
            <a:ext uri="{FF2B5EF4-FFF2-40B4-BE49-F238E27FC236}">
              <a16:creationId xmlns:a16="http://schemas.microsoft.com/office/drawing/2014/main" id="{00000000-0008-0000-0000-000038313400}"/>
            </a:ext>
          </a:extLst>
        </xdr:cNvPr>
        <xdr:cNvGrpSpPr>
          <a:grpSpLocks/>
        </xdr:cNvGrpSpPr>
      </xdr:nvGrpSpPr>
      <xdr:grpSpPr bwMode="auto">
        <a:xfrm>
          <a:off x="327025" y="1903413"/>
          <a:ext cx="2143125" cy="2124075"/>
          <a:chOff x="32" y="188"/>
          <a:chExt cx="225" cy="225"/>
        </a:xfrm>
      </xdr:grpSpPr>
      <xdr:sp macro="" textlink="">
        <xdr:nvSpPr>
          <xdr:cNvPr id="3420499" name="AutoShape 31">
            <a:extLst>
              <a:ext uri="{FF2B5EF4-FFF2-40B4-BE49-F238E27FC236}">
                <a16:creationId xmlns:a16="http://schemas.microsoft.com/office/drawing/2014/main" id="{00000000-0008-0000-0000-0000533134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a:extLst>
            <a:ext uri="{FF2B5EF4-FFF2-40B4-BE49-F238E27FC236}">
              <a16:creationId xmlns:a16="http://schemas.microsoft.com/office/drawing/2014/main" id="{00000000-0008-0000-0000-000039313400}"/>
            </a:ext>
          </a:extLst>
        </xdr:cNvPr>
        <xdr:cNvGrpSpPr>
          <a:grpSpLocks/>
        </xdr:cNvGrpSpPr>
      </xdr:nvGrpSpPr>
      <xdr:grpSpPr bwMode="auto">
        <a:xfrm>
          <a:off x="5699125" y="3208338"/>
          <a:ext cx="1501775" cy="409575"/>
          <a:chOff x="578" y="328"/>
          <a:chExt cx="158" cy="43"/>
        </a:xfrm>
      </xdr:grpSpPr>
      <xdr:sp macro="" textlink="">
        <xdr:nvSpPr>
          <xdr:cNvPr id="2418345" name="AutoShape 30">
            <a:extLst>
              <a:ext uri="{FF2B5EF4-FFF2-40B4-BE49-F238E27FC236}">
                <a16:creationId xmlns:a16="http://schemas.microsoft.com/office/drawing/2014/main" id="{00000000-0008-0000-0000-0000A9E624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a:extLst>
              <a:ext uri="{FF2B5EF4-FFF2-40B4-BE49-F238E27FC236}">
                <a16:creationId xmlns:a16="http://schemas.microsoft.com/office/drawing/2014/main" id="{00000000-0008-0000-0000-0000503134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a:extLst>
                <a:ext uri="{FF2B5EF4-FFF2-40B4-BE49-F238E27FC236}">
                  <a16:creationId xmlns:a16="http://schemas.microsoft.com/office/drawing/2014/main" id="{00000000-0008-0000-0000-0000523134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a:extLst>
            <a:ext uri="{FF2B5EF4-FFF2-40B4-BE49-F238E27FC236}">
              <a16:creationId xmlns:a16="http://schemas.microsoft.com/office/drawing/2014/main" id="{00000000-0008-0000-0000-00003A313400}"/>
            </a:ext>
          </a:extLst>
        </xdr:cNvPr>
        <xdr:cNvGrpSpPr>
          <a:grpSpLocks/>
        </xdr:cNvGrpSpPr>
      </xdr:nvGrpSpPr>
      <xdr:grpSpPr bwMode="auto">
        <a:xfrm>
          <a:off x="593725" y="3475038"/>
          <a:ext cx="1504950" cy="342900"/>
          <a:chOff x="56" y="259"/>
          <a:chExt cx="158" cy="40"/>
        </a:xfrm>
      </xdr:grpSpPr>
      <xdr:sp macro="" textlink="">
        <xdr:nvSpPr>
          <xdr:cNvPr id="2418341" name="AutoShape 30">
            <a:extLst>
              <a:ext uri="{FF2B5EF4-FFF2-40B4-BE49-F238E27FC236}">
                <a16:creationId xmlns:a16="http://schemas.microsoft.com/office/drawing/2014/main" id="{00000000-0008-0000-0000-0000A5E624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a:extLst>
              <a:ext uri="{FF2B5EF4-FFF2-40B4-BE49-F238E27FC236}">
                <a16:creationId xmlns:a16="http://schemas.microsoft.com/office/drawing/2014/main" id="{00000000-0008-0000-0000-00004C3134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a:extLst>
            <a:ext uri="{FF2B5EF4-FFF2-40B4-BE49-F238E27FC236}">
              <a16:creationId xmlns:a16="http://schemas.microsoft.com/office/drawing/2014/main" id="{00000000-0008-0000-0000-00003B313400}"/>
            </a:ext>
          </a:extLst>
        </xdr:cNvPr>
        <xdr:cNvGrpSpPr>
          <a:grpSpLocks/>
        </xdr:cNvGrpSpPr>
      </xdr:nvGrpSpPr>
      <xdr:grpSpPr bwMode="auto">
        <a:xfrm>
          <a:off x="593725" y="2417763"/>
          <a:ext cx="1504950" cy="371475"/>
          <a:chOff x="1343025" y="2428876"/>
          <a:chExt cx="3240982" cy="617274"/>
        </a:xfrm>
      </xdr:grpSpPr>
      <xdr:sp macro="" textlink="">
        <xdr:nvSpPr>
          <xdr:cNvPr id="2418337" name="AutoShape 30">
            <a:extLst>
              <a:ext uri="{FF2B5EF4-FFF2-40B4-BE49-F238E27FC236}">
                <a16:creationId xmlns:a16="http://schemas.microsoft.com/office/drawing/2014/main" id="{00000000-0008-0000-0000-0000A1E624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a:extLst>
              <a:ext uri="{FF2B5EF4-FFF2-40B4-BE49-F238E27FC236}">
                <a16:creationId xmlns:a16="http://schemas.microsoft.com/office/drawing/2014/main" id="{00000000-0008-0000-0000-0000483134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a:extLst>
            <a:ext uri="{FF2B5EF4-FFF2-40B4-BE49-F238E27FC236}">
              <a16:creationId xmlns:a16="http://schemas.microsoft.com/office/drawing/2014/main" id="{00000000-0008-0000-0000-00003C313400}"/>
            </a:ext>
          </a:extLst>
        </xdr:cNvPr>
        <xdr:cNvGrpSpPr>
          <a:grpSpLocks/>
        </xdr:cNvGrpSpPr>
      </xdr:nvGrpSpPr>
      <xdr:grpSpPr bwMode="auto">
        <a:xfrm>
          <a:off x="593725" y="2951163"/>
          <a:ext cx="1504950" cy="371475"/>
          <a:chOff x="1343025" y="2428876"/>
          <a:chExt cx="3240982" cy="617274"/>
        </a:xfrm>
      </xdr:grpSpPr>
      <xdr:sp macro="" textlink="">
        <xdr:nvSpPr>
          <xdr:cNvPr id="2418333" name="AutoShape 30">
            <a:extLst>
              <a:ext uri="{FF2B5EF4-FFF2-40B4-BE49-F238E27FC236}">
                <a16:creationId xmlns:a16="http://schemas.microsoft.com/office/drawing/2014/main" id="{00000000-0008-0000-0000-00009DE624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a:extLst>
              <a:ext uri="{FF2B5EF4-FFF2-40B4-BE49-F238E27FC236}">
                <a16:creationId xmlns:a16="http://schemas.microsoft.com/office/drawing/2014/main" id="{00000000-0008-0000-0000-0000443134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a:extLst>
            <a:ext uri="{FF2B5EF4-FFF2-40B4-BE49-F238E27FC236}">
              <a16:creationId xmlns:a16="http://schemas.microsoft.com/office/drawing/2014/main" id="{00000000-0008-0000-0000-00003D3134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a:extLst>
            <a:ext uri="{FF2B5EF4-FFF2-40B4-BE49-F238E27FC236}">
              <a16:creationId xmlns:a16="http://schemas.microsoft.com/office/drawing/2014/main" id="{00000000-0008-0000-0000-00003F3134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a:extLst>
            <a:ext uri="{FF2B5EF4-FFF2-40B4-BE49-F238E27FC236}">
              <a16:creationId xmlns:a16="http://schemas.microsoft.com/office/drawing/2014/main" id="{00000000-0008-0000-0000-0000413134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a:extLst>
            <a:ext uri="{FF2B5EF4-FFF2-40B4-BE49-F238E27FC236}">
              <a16:creationId xmlns:a16="http://schemas.microsoft.com/office/drawing/2014/main" id="{00000000-0008-0000-0900-00000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a:extLst>
            <a:ext uri="{FF2B5EF4-FFF2-40B4-BE49-F238E27FC236}">
              <a16:creationId xmlns:a16="http://schemas.microsoft.com/office/drawing/2014/main" id="{00000000-0008-0000-0200-00003F1B0000}"/>
            </a:ext>
          </a:extLst>
        </xdr:cNvPr>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a:extLst>
            <a:ext uri="{FF2B5EF4-FFF2-40B4-BE49-F238E27FC236}">
              <a16:creationId xmlns:a16="http://schemas.microsoft.com/office/drawing/2014/main" id="{00000000-0008-0000-0200-0000401B0000}"/>
            </a:ext>
          </a:extLst>
        </xdr:cNvPr>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a:extLst>
            <a:ext uri="{FF2B5EF4-FFF2-40B4-BE49-F238E27FC236}">
              <a16:creationId xmlns:a16="http://schemas.microsoft.com/office/drawing/2014/main" id="{00000000-0008-0000-0400-0000AB5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a:extLst>
            <a:ext uri="{FF2B5EF4-FFF2-40B4-BE49-F238E27FC236}">
              <a16:creationId xmlns:a16="http://schemas.microsoft.com/office/drawing/2014/main" id="{00000000-0008-0000-0400-0000AD592B00}"/>
            </a:ext>
          </a:extLst>
        </xdr:cNvPr>
        <xdr:cNvGrpSpPr>
          <a:grpSpLocks/>
        </xdr:cNvGrpSpPr>
      </xdr:nvGrpSpPr>
      <xdr:grpSpPr bwMode="auto">
        <a:xfrm>
          <a:off x="4572000" y="2571750"/>
          <a:ext cx="3486150" cy="2228850"/>
          <a:chOff x="410" y="229"/>
          <a:chExt cx="366" cy="234"/>
        </a:xfrm>
      </xdr:grpSpPr>
      <xdr:graphicFrame macro="">
        <xdr:nvGraphicFramePr>
          <xdr:cNvPr id="2841009" name="Chart 31">
            <a:extLst>
              <a:ext uri="{FF2B5EF4-FFF2-40B4-BE49-F238E27FC236}">
                <a16:creationId xmlns:a16="http://schemas.microsoft.com/office/drawing/2014/main" id="{00000000-0008-0000-0400-0000B159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a:extLst>
              <a:ext uri="{FF2B5EF4-FFF2-40B4-BE49-F238E27FC236}">
                <a16:creationId xmlns:a16="http://schemas.microsoft.com/office/drawing/2014/main" id="{00000000-0008-0000-0400-0000B259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19455</xdr:colOff>
      <xdr:row>22</xdr:row>
      <xdr:rowOff>2561524</xdr:rowOff>
    </xdr:from>
    <xdr:to>
      <xdr:col>6</xdr:col>
      <xdr:colOff>19455</xdr:colOff>
      <xdr:row>34</xdr:row>
      <xdr:rowOff>16565</xdr:rowOff>
    </xdr:to>
    <xdr:grpSp>
      <xdr:nvGrpSpPr>
        <xdr:cNvPr id="2841006" name="Group 490">
          <a:extLst>
            <a:ext uri="{FF2B5EF4-FFF2-40B4-BE49-F238E27FC236}">
              <a16:creationId xmlns:a16="http://schemas.microsoft.com/office/drawing/2014/main" id="{00000000-0008-0000-0400-0000AE592B00}"/>
            </a:ext>
          </a:extLst>
        </xdr:cNvPr>
        <xdr:cNvGrpSpPr>
          <a:grpSpLocks/>
        </xdr:cNvGrpSpPr>
      </xdr:nvGrpSpPr>
      <xdr:grpSpPr bwMode="auto">
        <a:xfrm>
          <a:off x="19455" y="6923974"/>
          <a:ext cx="4543425" cy="2684266"/>
          <a:chOff x="1" y="485"/>
          <a:chExt cx="407" cy="245"/>
        </a:xfrm>
      </xdr:grpSpPr>
      <xdr:graphicFrame macro="">
        <xdr:nvGraphicFramePr>
          <xdr:cNvPr id="2841007" name="Chart 34">
            <a:extLst>
              <a:ext uri="{FF2B5EF4-FFF2-40B4-BE49-F238E27FC236}">
                <a16:creationId xmlns:a16="http://schemas.microsoft.com/office/drawing/2014/main" id="{00000000-0008-0000-0400-0000AF592B00}"/>
              </a:ext>
            </a:extLst>
          </xdr:cNvPr>
          <xdr:cNvGraphicFramePr>
            <a:graphicFrameLocks/>
          </xdr:cNvGraphicFramePr>
        </xdr:nvGraphicFramePr>
        <xdr:xfrm>
          <a:off x="1" y="48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a:extLst>
              <a:ext uri="{FF2B5EF4-FFF2-40B4-BE49-F238E27FC236}">
                <a16:creationId xmlns:a16="http://schemas.microsoft.com/office/drawing/2014/main" id="{00000000-0008-0000-0400-0000B059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7</xdr:row>
      <xdr:rowOff>1666875</xdr:rowOff>
    </xdr:from>
    <xdr:to>
      <xdr:col>12</xdr:col>
      <xdr:colOff>38100</xdr:colOff>
      <xdr:row>12</xdr:row>
      <xdr:rowOff>95250</xdr:rowOff>
    </xdr:to>
    <xdr:graphicFrame macro="">
      <xdr:nvGraphicFramePr>
        <xdr:cNvPr id="2869558" name="Chart 1034">
          <a:extLst>
            <a:ext uri="{FF2B5EF4-FFF2-40B4-BE49-F238E27FC236}">
              <a16:creationId xmlns:a16="http://schemas.microsoft.com/office/drawing/2014/main" id="{00000000-0008-0000-0500-000036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15</xdr:row>
      <xdr:rowOff>0</xdr:rowOff>
    </xdr:from>
    <xdr:to>
      <xdr:col>5</xdr:col>
      <xdr:colOff>962025</xdr:colOff>
      <xdr:row>24</xdr:row>
      <xdr:rowOff>28575</xdr:rowOff>
    </xdr:to>
    <xdr:graphicFrame macro="">
      <xdr:nvGraphicFramePr>
        <xdr:cNvPr id="2869559" name="Chart 1039">
          <a:extLst>
            <a:ext uri="{FF2B5EF4-FFF2-40B4-BE49-F238E27FC236}">
              <a16:creationId xmlns:a16="http://schemas.microsoft.com/office/drawing/2014/main" id="{00000000-0008-0000-0500-000037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8</xdr:row>
      <xdr:rowOff>342900</xdr:rowOff>
    </xdr:from>
    <xdr:to>
      <xdr:col>6</xdr:col>
      <xdr:colOff>0</xdr:colOff>
      <xdr:row>9</xdr:row>
      <xdr:rowOff>523875</xdr:rowOff>
    </xdr:to>
    <xdr:graphicFrame macro="">
      <xdr:nvGraphicFramePr>
        <xdr:cNvPr id="2869560" name="Chart 1046">
          <a:extLst>
            <a:ext uri="{FF2B5EF4-FFF2-40B4-BE49-F238E27FC236}">
              <a16:creationId xmlns:a16="http://schemas.microsoft.com/office/drawing/2014/main" id="{00000000-0008-0000-0500-00003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15</xdr:row>
      <xdr:rowOff>19050</xdr:rowOff>
    </xdr:from>
    <xdr:to>
      <xdr:col>12</xdr:col>
      <xdr:colOff>180975</xdr:colOff>
      <xdr:row>24</xdr:row>
      <xdr:rowOff>28575</xdr:rowOff>
    </xdr:to>
    <xdr:graphicFrame macro="">
      <xdr:nvGraphicFramePr>
        <xdr:cNvPr id="2869561" name="Chart 1054">
          <a:extLst>
            <a:ext uri="{FF2B5EF4-FFF2-40B4-BE49-F238E27FC236}">
              <a16:creationId xmlns:a16="http://schemas.microsoft.com/office/drawing/2014/main" id="{00000000-0008-0000-0500-00003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26</xdr:row>
      <xdr:rowOff>152399</xdr:rowOff>
    </xdr:from>
    <xdr:to>
      <xdr:col>6</xdr:col>
      <xdr:colOff>19050</xdr:colOff>
      <xdr:row>34</xdr:row>
      <xdr:rowOff>847725</xdr:rowOff>
    </xdr:to>
    <xdr:graphicFrame macro="">
      <xdr:nvGraphicFramePr>
        <xdr:cNvPr id="2869562" name="Chart 1091">
          <a:extLst>
            <a:ext uri="{FF2B5EF4-FFF2-40B4-BE49-F238E27FC236}">
              <a16:creationId xmlns:a16="http://schemas.microsoft.com/office/drawing/2014/main" id="{00000000-0008-0000-0500-00003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114300</xdr:rowOff>
    </xdr:to>
    <xdr:graphicFrame macro="">
      <xdr:nvGraphicFramePr>
        <xdr:cNvPr id="22494" name="Chart 33">
          <a:extLst>
            <a:ext uri="{FF2B5EF4-FFF2-40B4-BE49-F238E27FC236}">
              <a16:creationId xmlns:a16="http://schemas.microsoft.com/office/drawing/2014/main" id="{00000000-0008-0000-0600-0000DE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17</xdr:col>
      <xdr:colOff>0</xdr:colOff>
      <xdr:row>17</xdr:row>
      <xdr:rowOff>133350</xdr:rowOff>
    </xdr:to>
    <xdr:graphicFrame macro="">
      <xdr:nvGraphicFramePr>
        <xdr:cNvPr id="22496" name="Chart 488">
          <a:extLst>
            <a:ext uri="{FF2B5EF4-FFF2-40B4-BE49-F238E27FC236}">
              <a16:creationId xmlns:a16="http://schemas.microsoft.com/office/drawing/2014/main" id="{00000000-0008-0000-0600-0000E0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171450</xdr:rowOff>
    </xdr:to>
    <xdr:graphicFrame macro="">
      <xdr:nvGraphicFramePr>
        <xdr:cNvPr id="22497" name="Chart 553">
          <a:extLst>
            <a:ext uri="{FF2B5EF4-FFF2-40B4-BE49-F238E27FC236}">
              <a16:creationId xmlns:a16="http://schemas.microsoft.com/office/drawing/2014/main" id="{00000000-0008-0000-0600-0000E1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a:extLst>
            <a:ext uri="{FF2B5EF4-FFF2-40B4-BE49-F238E27FC236}">
              <a16:creationId xmlns:a16="http://schemas.microsoft.com/office/drawing/2014/main" id="{00000000-0008-0000-0700-000050603400}"/>
            </a:ext>
          </a:extLst>
        </xdr:cNvPr>
        <xdr:cNvGrpSpPr>
          <a:grpSpLocks/>
        </xdr:cNvGrpSpPr>
      </xdr:nvGrpSpPr>
      <xdr:grpSpPr bwMode="auto">
        <a:xfrm>
          <a:off x="6777404" y="7957038"/>
          <a:ext cx="85725" cy="0"/>
          <a:chOff x="595" y="540"/>
          <a:chExt cx="9" cy="9"/>
        </a:xfrm>
      </xdr:grpSpPr>
      <xdr:sp macro="" textlink="">
        <xdr:nvSpPr>
          <xdr:cNvPr id="3432539" name="Rectangle 11">
            <a:extLst>
              <a:ext uri="{FF2B5EF4-FFF2-40B4-BE49-F238E27FC236}">
                <a16:creationId xmlns:a16="http://schemas.microsoft.com/office/drawing/2014/main" id="{00000000-0008-0000-0700-00005B60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a:extLst>
              <a:ext uri="{FF2B5EF4-FFF2-40B4-BE49-F238E27FC236}">
                <a16:creationId xmlns:a16="http://schemas.microsoft.com/office/drawing/2014/main" id="{00000000-0008-0000-0700-00005C60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a:extLst>
            <a:ext uri="{FF2B5EF4-FFF2-40B4-BE49-F238E27FC236}">
              <a16:creationId xmlns:a16="http://schemas.microsoft.com/office/drawing/2014/main" id="{00000000-0008-0000-0700-000051603400}"/>
            </a:ext>
          </a:extLst>
        </xdr:cNvPr>
        <xdr:cNvGrpSpPr>
          <a:grpSpLocks/>
        </xdr:cNvGrpSpPr>
      </xdr:nvGrpSpPr>
      <xdr:grpSpPr bwMode="auto">
        <a:xfrm>
          <a:off x="7472729" y="7957038"/>
          <a:ext cx="10258" cy="0"/>
          <a:chOff x="698" y="540"/>
          <a:chExt cx="9" cy="9"/>
        </a:xfrm>
      </xdr:grpSpPr>
      <xdr:sp macro="" textlink="">
        <xdr:nvSpPr>
          <xdr:cNvPr id="3432537" name="Rectangle 47">
            <a:extLst>
              <a:ext uri="{FF2B5EF4-FFF2-40B4-BE49-F238E27FC236}">
                <a16:creationId xmlns:a16="http://schemas.microsoft.com/office/drawing/2014/main" id="{00000000-0008-0000-0700-00005960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a:extLst>
              <a:ext uri="{FF2B5EF4-FFF2-40B4-BE49-F238E27FC236}">
                <a16:creationId xmlns:a16="http://schemas.microsoft.com/office/drawing/2014/main" id="{00000000-0008-0000-0700-00005A60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a:extLst>
            <a:ext uri="{FF2B5EF4-FFF2-40B4-BE49-F238E27FC236}">
              <a16:creationId xmlns:a16="http://schemas.microsoft.com/office/drawing/2014/main" id="{00000000-0008-0000-0700-000052603400}"/>
            </a:ext>
          </a:extLst>
        </xdr:cNvPr>
        <xdr:cNvGrpSpPr>
          <a:grpSpLocks/>
        </xdr:cNvGrpSpPr>
      </xdr:nvGrpSpPr>
      <xdr:grpSpPr bwMode="auto">
        <a:xfrm>
          <a:off x="5177204" y="7957038"/>
          <a:ext cx="1314450" cy="0"/>
          <a:chOff x="698" y="540"/>
          <a:chExt cx="9" cy="9"/>
        </a:xfrm>
      </xdr:grpSpPr>
      <xdr:sp macro="" textlink="">
        <xdr:nvSpPr>
          <xdr:cNvPr id="3432535" name="Rectangle 47">
            <a:extLst>
              <a:ext uri="{FF2B5EF4-FFF2-40B4-BE49-F238E27FC236}">
                <a16:creationId xmlns:a16="http://schemas.microsoft.com/office/drawing/2014/main" id="{00000000-0008-0000-0700-00005760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a:extLst>
              <a:ext uri="{FF2B5EF4-FFF2-40B4-BE49-F238E27FC236}">
                <a16:creationId xmlns:a16="http://schemas.microsoft.com/office/drawing/2014/main" id="{00000000-0008-0000-0700-00005860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a:extLst>
            <a:ext uri="{FF2B5EF4-FFF2-40B4-BE49-F238E27FC236}">
              <a16:creationId xmlns:a16="http://schemas.microsoft.com/office/drawing/2014/main" id="{00000000-0008-0000-0700-000053603400}"/>
            </a:ext>
          </a:extLst>
        </xdr:cNvPr>
        <xdr:cNvGrpSpPr>
          <a:grpSpLocks/>
        </xdr:cNvGrpSpPr>
      </xdr:nvGrpSpPr>
      <xdr:grpSpPr bwMode="auto">
        <a:xfrm>
          <a:off x="1436077" y="7957038"/>
          <a:ext cx="85725" cy="0"/>
          <a:chOff x="595" y="540"/>
          <a:chExt cx="9" cy="9"/>
        </a:xfrm>
      </xdr:grpSpPr>
      <xdr:sp macro="" textlink="">
        <xdr:nvSpPr>
          <xdr:cNvPr id="3432533" name="Rectangle 11">
            <a:extLst>
              <a:ext uri="{FF2B5EF4-FFF2-40B4-BE49-F238E27FC236}">
                <a16:creationId xmlns:a16="http://schemas.microsoft.com/office/drawing/2014/main" id="{00000000-0008-0000-0700-00005560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a:extLst>
              <a:ext uri="{FF2B5EF4-FFF2-40B4-BE49-F238E27FC236}">
                <a16:creationId xmlns:a16="http://schemas.microsoft.com/office/drawing/2014/main" id="{00000000-0008-0000-0700-00005660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a:extLst>
            <a:ext uri="{FF2B5EF4-FFF2-40B4-BE49-F238E27FC236}">
              <a16:creationId xmlns:a16="http://schemas.microsoft.com/office/drawing/2014/main" id="{00000000-0008-0000-0800-000098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6" connectionId="0">
    <xmlCellPr id="1" xr6:uid="{00000000-0010-0000-3700-000001000000}" uniqueName="1">
      <xmlPr mapId="43" xpath="/ns1:Root/ns1:F2/ns1:_Cumulative_Budget__in___" xmlDataType="string"/>
    </xmlCellPr>
  </singleXmlCell>
  <singleXmlCell id="475" xr6:uid="{00000000-000C-0000-FFFF-FFFF38000000}" r="D46" connectionId="0">
    <xmlCellPr id="1" xr6:uid="{00000000-0010-0000-3800-000001000000}" uniqueName="1">
      <xmlPr mapId="43" xpath="/ns1:Root/ns1:F2/ns1:_Cumulative_Expenditures__in___" xmlDataType="string"/>
    </xmlCellPr>
  </singleXmlCell>
  <singleXmlCell id="476" xr6:uid="{00000000-000C-0000-FFFF-FFFF39000000}" r="C52" connectionId="0">
    <xmlCellPr id="1" xr6:uid="{00000000-0010-0000-3900-000001000000}" uniqueName="1">
      <xmlPr mapId="43" xpath="/ns1:Root/ns1:F3/ns1:Disbursed_by_Global_Fund_Prior_to_reporting_period__in___" xmlDataType="double"/>
    </xmlCellPr>
  </singleXmlCell>
  <singleXmlCell id="477" xr6:uid="{00000000-000C-0000-FFFF-FFFF3A000000}" r="D52" connectionId="0">
    <xmlCellPr id="1" xr6:uid="{00000000-0010-0000-3A00-000001000000}" uniqueName="1">
      <xmlPr mapId="43" xpath="/ns1:Root/ns1:F3/ns1:Disbursed_by_Global_Fund_Reporting_period__in___" xmlDataType="double"/>
    </xmlCellPr>
  </singleXmlCell>
  <singleXmlCell id="478" xr6:uid="{00000000-000C-0000-FFFF-FFFF3B000000}" r="C53"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3" connectionId="0">
    <xmlCellPr id="1" xr6:uid="{00000000-0010-0000-3C00-000001000000}" uniqueName="1">
      <xmlPr mapId="43" xpath="/ns1:Root/ns1:F3/ns1:PR_expenditure_and_disbursement_Reporting_period__in___" xmlDataType="double"/>
    </xmlCellPr>
  </singleXmlCell>
  <singleXmlCell id="480" xr6:uid="{00000000-000C-0000-FFFF-FFFF3D000000}" r="C54" connectionId="0">
    <xmlCellPr id="1" xr6:uid="{00000000-0010-0000-3D00-000001000000}" uniqueName="1">
      <xmlPr mapId="43" xpath="/ns1:Root/ns1:F3/ns1:Disbursed_to_SRs_Prior_to_reporting_period__in___" xmlDataType="double"/>
    </xmlCellPr>
  </singleXmlCell>
  <singleXmlCell id="481" xr6:uid="{00000000-000C-0000-FFFF-FFFF3E000000}" r="D54" connectionId="0">
    <xmlCellPr id="1" xr6:uid="{00000000-0010-0000-3E00-000001000000}" uniqueName="1">
      <xmlPr mapId="43" xpath="/ns1:Root/ns1:F3/ns1:Disbursed_to_SRs_Reporting_period__in___" xmlDataType="double"/>
    </xmlCellPr>
  </singleXmlCell>
  <singleXmlCell id="482" xr6:uid="{00000000-000C-0000-FFFF-FFFF3F000000}" r="C55" connectionId="0">
    <xmlCellPr id="1" xr6:uid="{00000000-0010-0000-3F00-000001000000}" uniqueName="1">
      <xmlPr mapId="43" xpath="/ns1:Root/ns1:F3/ns1:SR_expenditures_Prior_to_reporting_period__in___" xmlDataType="double"/>
    </xmlCellPr>
  </singleXmlCell>
  <singleXmlCell id="483" xr6:uid="{00000000-000C-0000-FFFF-FFFF40000000}" r="D55" connectionId="0">
    <xmlCellPr id="1" xr6:uid="{00000000-0010-0000-4000-000001000000}" uniqueName="1">
      <xmlPr mapId="43" xpath="/ns1:Root/ns1:F3/ns1:SR_expenditures_Reporting_period__in___" xmlDataType="double"/>
    </xmlCellPr>
  </singleXmlCell>
  <singleXmlCell id="484" xr6:uid="{00000000-000C-0000-FFFF-FFFF41000000}" r="C62" connectionId="0">
    <xmlCellPr id="1" xr6:uid="{00000000-0010-0000-4100-000001000000}" uniqueName="1">
      <xmlPr mapId="43" xpath="/ns1:Root/ns1:F4/ns1:Days_taken_to_submit_acceptable_PU_DR_to_LFA_Expected__days_" xmlDataType="double"/>
    </xmlCellPr>
  </singleXmlCell>
  <singleXmlCell id="485" xr6:uid="{00000000-000C-0000-FFFF-FFFF42000000}" r="D62" connectionId="0">
    <xmlCellPr id="1" xr6:uid="{00000000-0010-0000-4200-000001000000}" uniqueName="1">
      <xmlPr mapId="43" xpath="/ns1:Root/ns1:F4/ns1:Days_taken_to_submit_acceptable_PU_DR_to_LFA_Actual__days_" xmlDataType="double"/>
    </xmlCellPr>
  </singleXmlCell>
  <singleXmlCell id="486" xr6:uid="{00000000-000C-0000-FFFF-FFFF43000000}" r="C63" connectionId="0">
    <xmlCellPr id="1" xr6:uid="{00000000-0010-0000-4300-000001000000}" uniqueName="1">
      <xmlPr mapId="43" xpath="/ns1:Root/ns1:F4/ns1:Days_taken_for_disbursement_to_reach_PR_Expected__days_" xmlDataType="double"/>
    </xmlCellPr>
  </singleXmlCell>
  <singleXmlCell id="487" xr6:uid="{00000000-000C-0000-FFFF-FFFF44000000}" r="D63" connectionId="0">
    <xmlCellPr id="1" xr6:uid="{00000000-0010-0000-4400-000001000000}" uniqueName="1">
      <xmlPr mapId="43" xpath="/ns1:Root/ns1:F4/ns1:Days_taken_for_disbursement_to_reach_PR_Actual__days_" xmlDataType="double"/>
    </xmlCellPr>
  </singleXmlCell>
  <singleXmlCell id="488" xr6:uid="{00000000-000C-0000-FFFF-FFFF45000000}" r="C64" connectionId="0">
    <xmlCellPr id="1" xr6:uid="{00000000-0010-0000-4500-000001000000}" uniqueName="1">
      <xmlPr mapId="43" xpath="/ns1:Root/ns1:F4/ns1:Days_taken_for_disbursement_to_reach_SRs__Expected__days_" xmlDataType="double"/>
    </xmlCellPr>
  </singleXmlCell>
  <singleXmlCell id="489" xr6:uid="{00000000-000C-0000-FFFF-FFFF46000000}" r="D64" connectionId="0">
    <xmlCellPr id="1" xr6:uid="{00000000-0010-0000-4600-000001000000}" uniqueName="1">
      <xmlPr mapId="43" xpath="/ns1:Root/ns1:F4/ns1:Days_taken_for_disbursement_to_reach_SRs__Actual__days_" xmlDataType="double"/>
    </xmlCellPr>
  </singleXmlCell>
  <singleXmlCell id="490" xr6:uid="{00000000-000C-0000-FFFF-FFFF47000000}" r="B72" connectionId="0">
    <xmlCellPr id="1" xr6:uid="{00000000-0010-0000-4700-000001000000}" uniqueName="1">
      <xmlPr mapId="43" xpath="/ns1:Root/ns1:M1/ns1:Conditions_precedents__CPs__" xmlDataType="string"/>
    </xmlCellPr>
  </singleXmlCell>
  <singleXmlCell id="491" xr6:uid="{00000000-000C-0000-FFFF-FFFF48000000}" r="D72" connectionId="0">
    <xmlCellPr id="1" xr6:uid="{00000000-0010-0000-4800-000001000000}" uniqueName="1">
      <xmlPr mapId="43" xpath="/ns1:Root/ns1:M1/ns1:Conditions_precedents__CPs__Fulfilled" xmlDataType="double"/>
    </xmlCellPr>
  </singleXmlCell>
  <singleXmlCell id="492" xr6:uid="{00000000-000C-0000-FFFF-FFFF49000000}" r="E72"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2"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3" connectionId="0">
    <xmlCellPr id="1" xr6:uid="{00000000-0010-0000-4B00-000001000000}" uniqueName="1">
      <xmlPr mapId="43" xpath="/ns1:Root/ns1:M1/ns1:Time_Bound_Actions__TBAs__" xmlDataType="string"/>
    </xmlCellPr>
  </singleXmlCell>
  <singleXmlCell id="495" xr6:uid="{00000000-000C-0000-FFFF-FFFF4C000000}" r="D73" connectionId="0">
    <xmlCellPr id="1" xr6:uid="{00000000-0010-0000-4C00-000001000000}" uniqueName="1">
      <xmlPr mapId="43" xpath="/ns1:Root/ns1:M1/ns1:Time_Bound_Actions__TBAs__Fulfilled" xmlDataType="double"/>
    </xmlCellPr>
  </singleXmlCell>
  <singleXmlCell id="496" xr6:uid="{00000000-000C-0000-FFFF-FFFF4D000000}" r="E73" connectionId="0">
    <xmlCellPr id="1" xr6:uid="{00000000-0010-0000-4D00-000001000000}" uniqueName="1">
      <xmlPr mapId="43" xpath="/ns1:Root/ns1:M1/ns1:Time_Bound_Actions__TBAs__Not_fulfilled__but_within_deadline" xmlDataType="string"/>
    </xmlCellPr>
  </singleXmlCell>
  <singleXmlCell id="497" xr6:uid="{00000000-000C-0000-FFFF-FFFF4E000000}" r="F73"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79" connectionId="0">
    <xmlCellPr id="1" xr6:uid="{00000000-0010-0000-4F00-000001000000}" uniqueName="1">
      <xmlPr mapId="43" xpath="/ns1:Root/ns1:M2/ns1:PMU_Planned" xmlDataType="double"/>
    </xmlCellPr>
  </singleXmlCell>
  <singleXmlCell id="499" xr6:uid="{00000000-000C-0000-FFFF-FFFF50000000}" r="D79" connectionId="0">
    <xmlCellPr id="1" xr6:uid="{00000000-0010-0000-5000-000001000000}" uniqueName="1">
      <xmlPr mapId="43" xpath="/ns1:Root/ns1:M2/ns1:PMU_Filled" xmlDataType="double"/>
    </xmlCellPr>
  </singleXmlCell>
  <singleXmlCell id="500" xr6:uid="{00000000-000C-0000-FFFF-FFFF51000000}" r="C84" connectionId="0">
    <xmlCellPr id="1" xr6:uid="{00000000-0010-0000-5100-000001000000}" uniqueName="1">
      <xmlPr mapId="43" xpath="/ns1:Root/ns1:M3/ns1:SRs_Identified" xmlDataType="double"/>
    </xmlCellPr>
  </singleXmlCell>
  <singleXmlCell id="501" xr6:uid="{00000000-000C-0000-FFFF-FFFF52000000}" r="D84" connectionId="0">
    <xmlCellPr id="1" xr6:uid="{00000000-0010-0000-5200-000001000000}" uniqueName="1">
      <xmlPr mapId="43" xpath="/ns1:Root/ns1:M3/ns1:SRs_Assessed" xmlDataType="double"/>
    </xmlCellPr>
  </singleXmlCell>
  <singleXmlCell id="502" xr6:uid="{00000000-000C-0000-FFFF-FFFF53000000}" r="E84" connectionId="0">
    <xmlCellPr id="1" xr6:uid="{00000000-0010-0000-5300-000001000000}" uniqueName="1">
      <xmlPr mapId="43" xpath="/ns1:Root/ns1:M3/ns1:SRs_Approved" xmlDataType="double"/>
    </xmlCellPr>
  </singleXmlCell>
  <singleXmlCell id="503" xr6:uid="{00000000-000C-0000-FFFF-FFFF54000000}" r="F84" connectionId="0">
    <xmlCellPr id="1" xr6:uid="{00000000-0010-0000-5400-000001000000}" uniqueName="1">
      <xmlPr mapId="43" xpath="/ns1:Root/ns1:M3/ns1:SRs_Signed" xmlDataType="double"/>
    </xmlCellPr>
  </singleXmlCell>
  <singleXmlCell id="504" xr6:uid="{00000000-000C-0000-FFFF-FFFF55000000}" r="G84" connectionId="0">
    <xmlCellPr id="1" xr6:uid="{00000000-0010-0000-5500-000001000000}" uniqueName="1">
      <xmlPr mapId="43" xpath="/ns1:Root/ns1:M3/ns1:SRs_Receiving_Funding" xmlDataType="double"/>
    </xmlCellPr>
  </singleXmlCell>
  <singleXmlCell id="506" xr6:uid="{00000000-000C-0000-FFFF-FFFF56000000}" r="C89" connectionId="0">
    <xmlCellPr id="1" xr6:uid="{00000000-0010-0000-5600-000001000000}" uniqueName="1">
      <xmlPr mapId="43" xpath="/ns1:Root/ns1:M4/ns1:SSR_to_SR__IR_____Expected" xmlDataType="string"/>
    </xmlCellPr>
  </singleXmlCell>
  <singleXmlCell id="507" xr6:uid="{00000000-000C-0000-FFFF-FFFF57000000}" r="D89" connectionId="0">
    <xmlCellPr id="1" xr6:uid="{00000000-0010-0000-5700-000001000000}" uniqueName="1">
      <xmlPr mapId="43" xpath="/ns1:Root/ns1:M4/ns1:SSR_to_SR__IR____Received" xmlDataType="string"/>
    </xmlCellPr>
  </singleXmlCell>
  <singleXmlCell id="509" xr6:uid="{00000000-000C-0000-FFFF-FFFF58000000}" r="C90" connectionId="0">
    <xmlCellPr id="1" xr6:uid="{00000000-0010-0000-5800-000001000000}" uniqueName="1">
      <xmlPr mapId="43" xpath="/ns1:Root/ns1:M4/ns1:SRs__IRs__to_PR____Expected" xmlDataType="double"/>
    </xmlCellPr>
  </singleXmlCell>
  <singleXmlCell id="510" xr6:uid="{00000000-000C-0000-FFFF-FFFF59000000}" r="D90" connectionId="0">
    <xmlCellPr id="1" xr6:uid="{00000000-0010-0000-5900-000001000000}" uniqueName="1">
      <xmlPr mapId="43" xpath="/ns1:Root/ns1:M4/ns1:SRs__IRs__to_PR___Received" xmlDataType="double"/>
    </xmlCellPr>
  </singleXmlCell>
  <singleXmlCell id="511" xr6:uid="{00000000-000C-0000-FFFF-FFFF5A000000}" r="C95" connectionId="0">
    <xmlCellPr id="1" xr6:uid="{00000000-0010-0000-5A00-000001000000}" uniqueName="1">
      <xmlPr mapId="43" xpath="/ns1:Root/ns1:M5/ns1:Budget_Approved__P1" xmlDataType="double"/>
    </xmlCellPr>
  </singleXmlCell>
  <singleXmlCell id="512" xr6:uid="{00000000-000C-0000-FFFF-FFFF5B000000}" r="D95" connectionId="0">
    <xmlCellPr id="1" xr6:uid="{00000000-0010-0000-5B00-000001000000}" uniqueName="1">
      <xmlPr mapId="43" xpath="/ns1:Root/ns1:M5/ns1:Budget_Approved__P2" xmlDataType="double"/>
    </xmlCellPr>
  </singleXmlCell>
  <singleXmlCell id="513" xr6:uid="{00000000-000C-0000-FFFF-FFFF5C000000}" r="E95" connectionId="0">
    <xmlCellPr id="1" xr6:uid="{00000000-0010-0000-5C00-000001000000}" uniqueName="1">
      <xmlPr mapId="43" xpath="/ns1:Root/ns1:M5/ns1:Budget_Approved__P3" xmlDataType="double"/>
    </xmlCellPr>
  </singleXmlCell>
  <singleXmlCell id="514" xr6:uid="{00000000-000C-0000-FFFF-FFFF5D000000}" r="F95" connectionId="0">
    <xmlCellPr id="1" xr6:uid="{00000000-0010-0000-5D00-000001000000}" uniqueName="1">
      <xmlPr mapId="43" xpath="/ns1:Root/ns1:M5/ns1:Budget_Approved__P4" xmlDataType="double"/>
    </xmlCellPr>
  </singleXmlCell>
  <singleXmlCell id="515" xr6:uid="{00000000-000C-0000-FFFF-FFFF5E000000}" r="G95" connectionId="0">
    <xmlCellPr id="1" xr6:uid="{00000000-0010-0000-5E00-000001000000}" uniqueName="1">
      <xmlPr mapId="43" xpath="/ns1:Root/ns1:M5/ns1:Budget_Approved__P5" xmlDataType="double"/>
    </xmlCellPr>
  </singleXmlCell>
  <singleXmlCell id="516" xr6:uid="{00000000-000C-0000-FFFF-FFFF5F000000}" r="H95" connectionId="0">
    <xmlCellPr id="1" xr6:uid="{00000000-0010-0000-5F00-000001000000}" uniqueName="1">
      <xmlPr mapId="43" xpath="/ns1:Root/ns1:M5/ns1:Budget_Approved__P6" xmlDataType="double"/>
    </xmlCellPr>
  </singleXmlCell>
  <singleXmlCell id="517" xr6:uid="{00000000-000C-0000-FFFF-FFFF60000000}" r="I95" connectionId="0">
    <xmlCellPr id="1" xr6:uid="{00000000-0010-0000-6000-000001000000}" uniqueName="1">
      <xmlPr mapId="43" xpath="/ns1:Root/ns1:M5/ns1:Budget_Approved__P7" xmlDataType="double"/>
    </xmlCellPr>
  </singleXmlCell>
  <singleXmlCell id="518" xr6:uid="{00000000-000C-0000-FFFF-FFFF61000000}" r="J95" connectionId="0">
    <xmlCellPr id="1" xr6:uid="{00000000-0010-0000-6100-000001000000}" uniqueName="1">
      <xmlPr mapId="43" xpath="/ns1:Root/ns1:M5/ns1:Budget_Approved__P8" xmlDataType="double"/>
    </xmlCellPr>
  </singleXmlCell>
  <singleXmlCell id="519" xr6:uid="{00000000-000C-0000-FFFF-FFFF62000000}" r="K95" connectionId="0">
    <xmlCellPr id="1" xr6:uid="{00000000-0010-0000-6200-000001000000}" uniqueName="1">
      <xmlPr mapId="43" xpath="/ns1:Root/ns1:M5/ns1:Budget_Approved__P9" xmlDataType="double"/>
    </xmlCellPr>
  </singleXmlCell>
  <singleXmlCell id="520" xr6:uid="{00000000-000C-0000-FFFF-FFFF63000000}" r="L95" connectionId="0">
    <xmlCellPr id="1" xr6:uid="{00000000-0010-0000-6300-000001000000}" uniqueName="1">
      <xmlPr mapId="43" xpath="/ns1:Root/ns1:M5/ns1:Budget_Approved__P10" xmlDataType="double"/>
    </xmlCellPr>
  </singleXmlCell>
  <singleXmlCell id="521" xr6:uid="{00000000-000C-0000-FFFF-FFFF64000000}" r="M95" connectionId="0">
    <xmlCellPr id="1" xr6:uid="{00000000-0010-0000-6400-000001000000}" uniqueName="1">
      <xmlPr mapId="43" xpath="/ns1:Root/ns1:M5/ns1:Budget_Approved__P11" xmlDataType="double"/>
    </xmlCellPr>
  </singleXmlCell>
  <singleXmlCell id="522" xr6:uid="{00000000-000C-0000-FFFF-FFFF65000000}" r="N95" connectionId="0">
    <xmlCellPr id="1" xr6:uid="{00000000-0010-0000-6500-000001000000}" uniqueName="1">
      <xmlPr mapId="43" xpath="/ns1:Root/ns1:M5/ns1:Budget_Approved__P12" xmlDataType="double"/>
    </xmlCellPr>
  </singleXmlCell>
  <singleXmlCell id="523" xr6:uid="{00000000-000C-0000-FFFF-FFFF66000000}" r="C96" connectionId="0">
    <xmlCellPr id="1" xr6:uid="{00000000-0010-0000-6600-000001000000}" uniqueName="1">
      <xmlPr mapId="43" xpath="/ns1:Root/ns1:M5/ns1:Obligations_P1" xmlDataType="double"/>
    </xmlCellPr>
  </singleXmlCell>
  <singleXmlCell id="524" xr6:uid="{00000000-000C-0000-FFFF-FFFF67000000}" r="D96" connectionId="0">
    <xmlCellPr id="1" xr6:uid="{00000000-0010-0000-6700-000001000000}" uniqueName="1">
      <xmlPr mapId="43" xpath="/ns1:Root/ns1:M5/ns1:Obligations_P2" xmlDataType="double"/>
    </xmlCellPr>
  </singleXmlCell>
  <singleXmlCell id="525" xr6:uid="{00000000-000C-0000-FFFF-FFFF68000000}" r="E96" connectionId="0">
    <xmlCellPr id="1" xr6:uid="{00000000-0010-0000-6800-000001000000}" uniqueName="1">
      <xmlPr mapId="43" xpath="/ns1:Root/ns1:M5/ns1:Obligations_P3" xmlDataType="double"/>
    </xmlCellPr>
  </singleXmlCell>
  <singleXmlCell id="526" xr6:uid="{00000000-000C-0000-FFFF-FFFF69000000}" r="F96" connectionId="0">
    <xmlCellPr id="1" xr6:uid="{00000000-0010-0000-6900-000001000000}" uniqueName="1">
      <xmlPr mapId="43" xpath="/ns1:Root/ns1:M5/ns1:Obligations_P4" xmlDataType="double"/>
    </xmlCellPr>
  </singleXmlCell>
  <singleXmlCell id="527" xr6:uid="{00000000-000C-0000-FFFF-FFFF6A000000}" r="G96" connectionId="0">
    <xmlCellPr id="1" xr6:uid="{00000000-0010-0000-6A00-000001000000}" uniqueName="1">
      <xmlPr mapId="43" xpath="/ns1:Root/ns1:M5/ns1:Obligations_P5" xmlDataType="double"/>
    </xmlCellPr>
  </singleXmlCell>
  <singleXmlCell id="528" xr6:uid="{00000000-000C-0000-FFFF-FFFF6B000000}" r="H96" connectionId="0">
    <xmlCellPr id="1" xr6:uid="{00000000-0010-0000-6B00-000001000000}" uniqueName="1">
      <xmlPr mapId="43" xpath="/ns1:Root/ns1:M5/ns1:Obligations_P6" xmlDataType="double"/>
    </xmlCellPr>
  </singleXmlCell>
  <singleXmlCell id="529" xr6:uid="{00000000-000C-0000-FFFF-FFFF6C000000}" r="I96" connectionId="0">
    <xmlCellPr id="1" xr6:uid="{00000000-0010-0000-6C00-000001000000}" uniqueName="1">
      <xmlPr mapId="43" xpath="/ns1:Root/ns1:M5/ns1:Obligations_P7" xmlDataType="double"/>
    </xmlCellPr>
  </singleXmlCell>
  <singleXmlCell id="530" xr6:uid="{00000000-000C-0000-FFFF-FFFF6D000000}" r="J96" connectionId="0">
    <xmlCellPr id="1" xr6:uid="{00000000-0010-0000-6D00-000001000000}" uniqueName="1">
      <xmlPr mapId="43" xpath="/ns1:Root/ns1:M5/ns1:Obligations_P8" xmlDataType="double"/>
    </xmlCellPr>
  </singleXmlCell>
  <singleXmlCell id="531" xr6:uid="{00000000-000C-0000-FFFF-FFFF6E000000}" r="K96" connectionId="0">
    <xmlCellPr id="1" xr6:uid="{00000000-0010-0000-6E00-000001000000}" uniqueName="1">
      <xmlPr mapId="43" xpath="/ns1:Root/ns1:M5/ns1:Obligations_P9" xmlDataType="double"/>
    </xmlCellPr>
  </singleXmlCell>
  <singleXmlCell id="532" xr6:uid="{00000000-000C-0000-FFFF-FFFF6F000000}" r="L96" connectionId="0">
    <xmlCellPr id="1" xr6:uid="{00000000-0010-0000-6F00-000001000000}" uniqueName="1">
      <xmlPr mapId="43" xpath="/ns1:Root/ns1:M5/ns1:Obligations_P10" xmlDataType="double"/>
    </xmlCellPr>
  </singleXmlCell>
  <singleXmlCell id="533" xr6:uid="{00000000-000C-0000-FFFF-FFFF70000000}" r="M96" connectionId="0">
    <xmlCellPr id="1" xr6:uid="{00000000-0010-0000-7000-000001000000}" uniqueName="1">
      <xmlPr mapId="43" xpath="/ns1:Root/ns1:M5/ns1:Obligations_P11" xmlDataType="double"/>
    </xmlCellPr>
  </singleXmlCell>
  <singleXmlCell id="534" xr6:uid="{00000000-000C-0000-FFFF-FFFF71000000}" r="N96" connectionId="0">
    <xmlCellPr id="1" xr6:uid="{00000000-0010-0000-7100-000001000000}" uniqueName="1">
      <xmlPr mapId="43" xpath="/ns1:Root/ns1:M5/ns1:Obligations_P12" xmlDataType="double"/>
    </xmlCellPr>
  </singleXmlCell>
  <singleXmlCell id="535" xr6:uid="{00000000-000C-0000-FFFF-FFFF72000000}" r="C97" connectionId="0">
    <xmlCellPr id="1" xr6:uid="{00000000-0010-0000-7200-000001000000}" uniqueName="1">
      <xmlPr mapId="43" xpath="/ns1:Root/ns1:M5/ns1:Expenditures_P1" xmlDataType="double"/>
    </xmlCellPr>
  </singleXmlCell>
  <singleXmlCell id="536" xr6:uid="{00000000-000C-0000-FFFF-FFFF73000000}" r="D97" connectionId="0">
    <xmlCellPr id="1" xr6:uid="{00000000-0010-0000-7300-000001000000}" uniqueName="1">
      <xmlPr mapId="43" xpath="/ns1:Root/ns1:M5/ns1:Expenditures_P2" xmlDataType="double"/>
    </xmlCellPr>
  </singleXmlCell>
  <singleXmlCell id="537" xr6:uid="{00000000-000C-0000-FFFF-FFFF74000000}" r="E97" connectionId="0">
    <xmlCellPr id="1" xr6:uid="{00000000-0010-0000-7400-000001000000}" uniqueName="1">
      <xmlPr mapId="43" xpath="/ns1:Root/ns1:M5/ns1:Expenditures_P3" xmlDataType="double"/>
    </xmlCellPr>
  </singleXmlCell>
  <singleXmlCell id="538" xr6:uid="{00000000-000C-0000-FFFF-FFFF75000000}" r="F97" connectionId="0">
    <xmlCellPr id="1" xr6:uid="{00000000-0010-0000-7500-000001000000}" uniqueName="1">
      <xmlPr mapId="43" xpath="/ns1:Root/ns1:M5/ns1:Expenditures_P4" xmlDataType="double"/>
    </xmlCellPr>
  </singleXmlCell>
  <singleXmlCell id="539" xr6:uid="{00000000-000C-0000-FFFF-FFFF76000000}" r="G97" connectionId="0">
    <xmlCellPr id="1" xr6:uid="{00000000-0010-0000-7600-000001000000}" uniqueName="1">
      <xmlPr mapId="43" xpath="/ns1:Root/ns1:M5/ns1:Expenditures_P5" xmlDataType="double"/>
    </xmlCellPr>
  </singleXmlCell>
  <singleXmlCell id="540" xr6:uid="{00000000-000C-0000-FFFF-FFFF77000000}" r="H97" connectionId="0">
    <xmlCellPr id="1" xr6:uid="{00000000-0010-0000-7700-000001000000}" uniqueName="1">
      <xmlPr mapId="43" xpath="/ns1:Root/ns1:M5/ns1:Expenditures_P6" xmlDataType="double"/>
    </xmlCellPr>
  </singleXmlCell>
  <singleXmlCell id="541" xr6:uid="{00000000-000C-0000-FFFF-FFFF78000000}" r="I97" connectionId="0">
    <xmlCellPr id="1" xr6:uid="{00000000-0010-0000-7800-000001000000}" uniqueName="1">
      <xmlPr mapId="43" xpath="/ns1:Root/ns1:M5/ns1:Expenditures_P7" xmlDataType="double"/>
    </xmlCellPr>
  </singleXmlCell>
  <singleXmlCell id="542" xr6:uid="{00000000-000C-0000-FFFF-FFFF79000000}" r="J97" connectionId="0">
    <xmlCellPr id="1" xr6:uid="{00000000-0010-0000-7900-000001000000}" uniqueName="1">
      <xmlPr mapId="43" xpath="/ns1:Root/ns1:M5/ns1:Expenditures_P8" xmlDataType="double"/>
    </xmlCellPr>
  </singleXmlCell>
  <singleXmlCell id="543" xr6:uid="{00000000-000C-0000-FFFF-FFFF7A000000}" r="K97" connectionId="0">
    <xmlCellPr id="1" xr6:uid="{00000000-0010-0000-7A00-000001000000}" uniqueName="1">
      <xmlPr mapId="43" xpath="/ns1:Root/ns1:M5/ns1:Expenditures_P9" xmlDataType="double"/>
    </xmlCellPr>
  </singleXmlCell>
  <singleXmlCell id="544" xr6:uid="{00000000-000C-0000-FFFF-FFFF7B000000}" r="L97" connectionId="0">
    <xmlCellPr id="1" xr6:uid="{00000000-0010-0000-7B00-000001000000}" uniqueName="1">
      <xmlPr mapId="43" xpath="/ns1:Root/ns1:M5/ns1:Expenditures_P10" xmlDataType="double"/>
    </xmlCellPr>
  </singleXmlCell>
  <singleXmlCell id="545" xr6:uid="{00000000-000C-0000-FFFF-FFFF7C000000}" r="M97" connectionId="0">
    <xmlCellPr id="1" xr6:uid="{00000000-0010-0000-7C00-000001000000}" uniqueName="1">
      <xmlPr mapId="43" xpath="/ns1:Root/ns1:M5/ns1:Expenditures_P11" xmlDataType="double"/>
    </xmlCellPr>
  </singleXmlCell>
  <singleXmlCell id="546" xr6:uid="{00000000-000C-0000-FFFF-FFFF7D000000}" r="N97" connectionId="0">
    <xmlCellPr id="1" xr6:uid="{00000000-0010-0000-7D00-000001000000}" uniqueName="1">
      <xmlPr mapId="43" xpath="/ns1:Root/ns1:M5/ns1:Expenditures_P12" xmlDataType="double"/>
    </xmlCellPr>
  </singleXmlCell>
  <singleXmlCell id="547" xr6:uid="{00000000-000C-0000-FFFF-FFFF7E000000}" r="C108" connectionId="0">
    <xmlCellPr id="1" xr6:uid="{00000000-0010-0000-7E00-000001000000}" uniqueName="1">
      <xmlPr mapId="43" xpath="/ns1:Root/ns1:M6/ns1:HIV___AIDS_Products" xmlDataType="string"/>
    </xmlCellPr>
  </singleXmlCell>
  <singleXmlCell id="548" xr6:uid="{00000000-000C-0000-FFFF-FFFF7F000000}" r="D108"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08" connectionId="0">
    <xmlCellPr id="1" xr6:uid="{00000000-0010-0000-8000-000001000000}" uniqueName="1">
      <xmlPr mapId="43" xpath="/ns1:Root/ns1:M6/ns1:HIV___AIDS__3__Total_patients_in_treatment" xmlDataType="double"/>
    </xmlCellPr>
  </singleXmlCell>
  <singleXmlCell id="550" xr6:uid="{00000000-000C-0000-FFFF-FFFF81000000}" r="H108"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08"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09" connectionId="0">
    <xmlCellPr id="1" xr6:uid="{00000000-0010-0000-8300-000001000000}" uniqueName="1">
      <xmlPr mapId="43" xpath="/ns1:Root/ns1:M6/ns1:_Products_1" xmlDataType="string"/>
    </xmlCellPr>
  </singleXmlCell>
  <singleXmlCell id="553" xr6:uid="{00000000-000C-0000-FFFF-FFFF84000000}" r="D109"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09" connectionId="0">
    <xmlCellPr id="1" xr6:uid="{00000000-0010-0000-8500-000001000000}" uniqueName="1">
      <xmlPr mapId="43" xpath="/ns1:Root/ns1:M6/ns1:__3__Total_patients_in_treatment_1" xmlDataType="double"/>
    </xmlCellPr>
  </singleXmlCell>
  <singleXmlCell id="555" xr6:uid="{00000000-000C-0000-FFFF-FFFF86000000}" r="H109"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09"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0" connectionId="0">
    <xmlCellPr id="1" xr6:uid="{00000000-0010-0000-8800-000001000000}" uniqueName="1">
      <xmlPr mapId="43" xpath="/ns1:Root/ns1:M6/ns1:_Products_2" xmlDataType="string"/>
    </xmlCellPr>
  </singleXmlCell>
  <singleXmlCell id="558" xr6:uid="{00000000-000C-0000-FFFF-FFFF89000000}" r="D110"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0" connectionId="0">
    <xmlCellPr id="1" xr6:uid="{00000000-0010-0000-8A00-000001000000}" uniqueName="1">
      <xmlPr mapId="43" xpath="/ns1:Root/ns1:M6/ns1:__3__Total_patients_in_treatment_2" xmlDataType="double"/>
    </xmlCellPr>
  </singleXmlCell>
  <singleXmlCell id="560" xr6:uid="{00000000-000C-0000-FFFF-FFFF8B000000}" r="H110"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0"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1" connectionId="0">
    <xmlCellPr id="1" xr6:uid="{00000000-0010-0000-8D00-000001000000}" uniqueName="1">
      <xmlPr mapId="43" xpath="/ns1:Root/ns1:M6/ns1:_Products" xmlDataType="string"/>
    </xmlCellPr>
  </singleXmlCell>
  <singleXmlCell id="563" xr6:uid="{00000000-000C-0000-FFFF-FFFF8E000000}" r="D111"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1" connectionId="0">
    <xmlCellPr id="1" xr6:uid="{00000000-0010-0000-8F00-000001000000}" uniqueName="1">
      <xmlPr mapId="43" xpath="/ns1:Root/ns1:M6/ns1:__3__Total_patients_in_treatment" xmlDataType="double"/>
    </xmlCellPr>
  </singleXmlCell>
  <singleXmlCell id="565" xr6:uid="{00000000-000C-0000-FFFF-FFFF90000000}" r="H111"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1"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18" connectionId="0">
    <xmlCellPr id="1" xr6:uid="{00000000-0010-0000-9200-000001000000}" uniqueName="1">
      <xmlPr mapId="43" xpath="/ns1:Root/ns1:Prog/ns1:Target_P1_1" xmlDataType="double"/>
    </xmlCellPr>
  </singleXmlCell>
  <singleXmlCell id="568" xr6:uid="{00000000-000C-0000-FFFF-FFFF93000000}" r="I118" connectionId="0">
    <xmlCellPr id="1" xr6:uid="{00000000-0010-0000-9300-000001000000}" uniqueName="1">
      <xmlPr mapId="43" xpath="/ns1:Root/ns1:Prog/ns1:Target_P2_1" xmlDataType="double"/>
    </xmlCellPr>
  </singleXmlCell>
  <singleXmlCell id="569" xr6:uid="{00000000-000C-0000-FFFF-FFFF94000000}" r="J118" connectionId="0">
    <xmlCellPr id="1" xr6:uid="{00000000-0010-0000-9400-000001000000}" uniqueName="1">
      <xmlPr mapId="43" xpath="/ns1:Root/ns1:Prog/ns1:Target_P3_1" xmlDataType="double"/>
    </xmlCellPr>
  </singleXmlCell>
  <singleXmlCell id="570" xr6:uid="{00000000-000C-0000-FFFF-FFFF95000000}" r="K118" connectionId="0">
    <xmlCellPr id="1" xr6:uid="{00000000-0010-0000-9500-000001000000}" uniqueName="1">
      <xmlPr mapId="43" xpath="/ns1:Root/ns1:Prog/ns1:Target_P4_1" xmlDataType="double"/>
    </xmlCellPr>
  </singleXmlCell>
  <singleXmlCell id="571" xr6:uid="{00000000-000C-0000-FFFF-FFFF96000000}" r="L118" connectionId="0">
    <xmlCellPr id="1" xr6:uid="{00000000-0010-0000-9600-000001000000}" uniqueName="1">
      <xmlPr mapId="43" xpath="/ns1:Root/ns1:Prog/ns1:Target_P5_1" xmlDataType="double"/>
    </xmlCellPr>
  </singleXmlCell>
  <singleXmlCell id="572" xr6:uid="{00000000-000C-0000-FFFF-FFFF97000000}" r="M118" connectionId="0">
    <xmlCellPr id="1" xr6:uid="{00000000-0010-0000-9700-000001000000}" uniqueName="1">
      <xmlPr mapId="43" xpath="/ns1:Root/ns1:Prog/ns1:Target_P6_1" xmlDataType="double"/>
    </xmlCellPr>
  </singleXmlCell>
  <singleXmlCell id="573" xr6:uid="{00000000-000C-0000-FFFF-FFFF98000000}" r="N118" connectionId="0">
    <xmlCellPr id="1" xr6:uid="{00000000-0010-0000-9800-000001000000}" uniqueName="1">
      <xmlPr mapId="43" xpath="/ns1:Root/ns1:Prog/ns1:Target_P7_1" xmlDataType="double"/>
    </xmlCellPr>
  </singleXmlCell>
  <singleXmlCell id="574" xr6:uid="{00000000-000C-0000-FFFF-FFFF99000000}" r="O118" connectionId="0">
    <xmlCellPr id="1" xr6:uid="{00000000-0010-0000-9900-000001000000}" uniqueName="1">
      <xmlPr mapId="43" xpath="/ns1:Root/ns1:Prog/ns1:Target_P8_1" xmlDataType="double"/>
    </xmlCellPr>
  </singleXmlCell>
  <singleXmlCell id="575" xr6:uid="{00000000-000C-0000-FFFF-FFFF9A000000}" r="P118" connectionId="0">
    <xmlCellPr id="1" xr6:uid="{00000000-0010-0000-9A00-000001000000}" uniqueName="1">
      <xmlPr mapId="43" xpath="/ns1:Root/ns1:Prog/ns1:Target_P9_1" xmlDataType="double"/>
    </xmlCellPr>
  </singleXmlCell>
  <singleXmlCell id="576" xr6:uid="{00000000-000C-0000-FFFF-FFFF9B000000}" r="Q118" connectionId="0">
    <xmlCellPr id="1" xr6:uid="{00000000-0010-0000-9B00-000001000000}" uniqueName="1">
      <xmlPr mapId="43" xpath="/ns1:Root/ns1:Prog/ns1:Target_P10_1" xmlDataType="double"/>
    </xmlCellPr>
  </singleXmlCell>
  <singleXmlCell id="577" xr6:uid="{00000000-000C-0000-FFFF-FFFF9C000000}" r="R118" connectionId="0">
    <xmlCellPr id="1" xr6:uid="{00000000-0010-0000-9C00-000001000000}" uniqueName="1">
      <xmlPr mapId="43" xpath="/ns1:Root/ns1:Prog/ns1:Target_P11_1" xmlDataType="double"/>
    </xmlCellPr>
  </singleXmlCell>
  <singleXmlCell id="578" xr6:uid="{00000000-000C-0000-FFFF-FFFF9D000000}" r="S118" connectionId="0">
    <xmlCellPr id="1" xr6:uid="{00000000-0010-0000-9D00-000001000000}" uniqueName="1">
      <xmlPr mapId="43" xpath="/ns1:Root/ns1:Prog/ns1:Target_P12_1" xmlDataType="double"/>
    </xmlCellPr>
  </singleXmlCell>
  <singleXmlCell id="579" xr6:uid="{00000000-000C-0000-FFFF-FFFF9E000000}" r="H119" connectionId="0">
    <xmlCellPr id="1" xr6:uid="{00000000-0010-0000-9E00-000001000000}" uniqueName="1">
      <xmlPr mapId="43" xpath="/ns1:Root/ns1:Prog/ns1:Achieved__P1_1" xmlDataType="double"/>
    </xmlCellPr>
  </singleXmlCell>
  <singleXmlCell id="580" xr6:uid="{00000000-000C-0000-FFFF-FFFF9F000000}" r="I119" connectionId="0">
    <xmlCellPr id="1" xr6:uid="{00000000-0010-0000-9F00-000001000000}" uniqueName="1">
      <xmlPr mapId="43" xpath="/ns1:Root/ns1:Prog/ns1:Achieved__P2_1" xmlDataType="double"/>
    </xmlCellPr>
  </singleXmlCell>
  <singleXmlCell id="581" xr6:uid="{00000000-000C-0000-FFFF-FFFFA0000000}" r="J119" connectionId="0">
    <xmlCellPr id="1" xr6:uid="{00000000-0010-0000-A000-000001000000}" uniqueName="1">
      <xmlPr mapId="43" xpath="/ns1:Root/ns1:Prog/ns1:Achieved__P3_1" xmlDataType="double"/>
    </xmlCellPr>
  </singleXmlCell>
  <singleXmlCell id="582" xr6:uid="{00000000-000C-0000-FFFF-FFFFA1000000}" r="K119" connectionId="0">
    <xmlCellPr id="1" xr6:uid="{00000000-0010-0000-A100-000001000000}" uniqueName="1">
      <xmlPr mapId="43" xpath="/ns1:Root/ns1:Prog/ns1:Achieved__P4_1" xmlDataType="double"/>
    </xmlCellPr>
  </singleXmlCell>
  <singleXmlCell id="583" xr6:uid="{00000000-000C-0000-FFFF-FFFFA2000000}" r="L119" connectionId="0">
    <xmlCellPr id="1" xr6:uid="{00000000-0010-0000-A200-000001000000}" uniqueName="1">
      <xmlPr mapId="43" xpath="/ns1:Root/ns1:Prog/ns1:Achieved__P5_1" xmlDataType="string"/>
    </xmlCellPr>
  </singleXmlCell>
  <singleXmlCell id="584" xr6:uid="{00000000-000C-0000-FFFF-FFFFA3000000}" r="M119" connectionId="0">
    <xmlCellPr id="1" xr6:uid="{00000000-0010-0000-A300-000001000000}" uniqueName="1">
      <xmlPr mapId="43" xpath="/ns1:Root/ns1:Prog/ns1:Achieved__P6_1" xmlDataType="string"/>
    </xmlCellPr>
  </singleXmlCell>
  <singleXmlCell id="585" xr6:uid="{00000000-000C-0000-FFFF-FFFFA4000000}" r="N119" connectionId="0">
    <xmlCellPr id="1" xr6:uid="{00000000-0010-0000-A400-000001000000}" uniqueName="1">
      <xmlPr mapId="43" xpath="/ns1:Root/ns1:Prog/ns1:Achieved__P7_1" xmlDataType="string"/>
    </xmlCellPr>
  </singleXmlCell>
  <singleXmlCell id="586" xr6:uid="{00000000-000C-0000-FFFF-FFFFA5000000}" r="O119" connectionId="0">
    <xmlCellPr id="1" xr6:uid="{00000000-0010-0000-A500-000001000000}" uniqueName="1">
      <xmlPr mapId="43" xpath="/ns1:Root/ns1:Prog/ns1:Achieved__P8_1" xmlDataType="string"/>
    </xmlCellPr>
  </singleXmlCell>
  <singleXmlCell id="587" xr6:uid="{00000000-000C-0000-FFFF-FFFFA6000000}" r="P119" connectionId="0">
    <xmlCellPr id="1" xr6:uid="{00000000-0010-0000-A600-000001000000}" uniqueName="1">
      <xmlPr mapId="43" xpath="/ns1:Root/ns1:Prog/ns1:Achieved__P9_1" xmlDataType="string"/>
    </xmlCellPr>
  </singleXmlCell>
  <singleXmlCell id="588" xr6:uid="{00000000-000C-0000-FFFF-FFFFA7000000}" r="Q119" connectionId="0">
    <xmlCellPr id="1" xr6:uid="{00000000-0010-0000-A700-000001000000}" uniqueName="1">
      <xmlPr mapId="43" xpath="/ns1:Root/ns1:Prog/ns1:Achieved__P10_1" xmlDataType="string"/>
    </xmlCellPr>
  </singleXmlCell>
  <singleXmlCell id="589" xr6:uid="{00000000-000C-0000-FFFF-FFFFA8000000}" r="R119" connectionId="0">
    <xmlCellPr id="1" xr6:uid="{00000000-0010-0000-A800-000001000000}" uniqueName="1">
      <xmlPr mapId="43" xpath="/ns1:Root/ns1:Prog/ns1:Achieved__P11_1" xmlDataType="string"/>
    </xmlCellPr>
  </singleXmlCell>
  <singleXmlCell id="590" xr6:uid="{00000000-000C-0000-FFFF-FFFFA9000000}" r="S119" connectionId="0">
    <xmlCellPr id="1" xr6:uid="{00000000-0010-0000-A900-000001000000}" uniqueName="1">
      <xmlPr mapId="43" xpath="/ns1:Root/ns1:Prog/ns1:Achieved__P12_1" xmlDataType="string"/>
    </xmlCellPr>
  </singleXmlCell>
  <singleXmlCell id="591" xr6:uid="{00000000-000C-0000-FFFF-FFFFAA000000}" r="H120" connectionId="0">
    <xmlCellPr id="1" xr6:uid="{00000000-0010-0000-AA00-000001000000}" uniqueName="1">
      <xmlPr mapId="43" xpath="/ns1:Root/ns1:Prog/ns1:Target_P1_2" xmlDataType="double"/>
    </xmlCellPr>
  </singleXmlCell>
  <singleXmlCell id="592" xr6:uid="{00000000-000C-0000-FFFF-FFFFAB000000}" r="I120" connectionId="0">
    <xmlCellPr id="1" xr6:uid="{00000000-0010-0000-AB00-000001000000}" uniqueName="1">
      <xmlPr mapId="43" xpath="/ns1:Root/ns1:Prog/ns1:Target_P2_2" xmlDataType="double"/>
    </xmlCellPr>
  </singleXmlCell>
  <singleXmlCell id="593" xr6:uid="{00000000-000C-0000-FFFF-FFFFAC000000}" r="J120" connectionId="0">
    <xmlCellPr id="1" xr6:uid="{00000000-0010-0000-AC00-000001000000}" uniqueName="1">
      <xmlPr mapId="43" xpath="/ns1:Root/ns1:Prog/ns1:Target_P3_2" xmlDataType="double"/>
    </xmlCellPr>
  </singleXmlCell>
  <singleXmlCell id="594" xr6:uid="{00000000-000C-0000-FFFF-FFFFAD000000}" r="L120" connectionId="0">
    <xmlCellPr id="1" xr6:uid="{00000000-0010-0000-AD00-000001000000}" uniqueName="1">
      <xmlPr mapId="43" xpath="/ns1:Root/ns1:Prog/ns1:Target_P5_2" xmlDataType="double"/>
    </xmlCellPr>
  </singleXmlCell>
  <singleXmlCell id="595" xr6:uid="{00000000-000C-0000-FFFF-FFFFAE000000}" r="M120" connectionId="0">
    <xmlCellPr id="1" xr6:uid="{00000000-0010-0000-AE00-000001000000}" uniqueName="1">
      <xmlPr mapId="43" xpath="/ns1:Root/ns1:Prog/ns1:Target_P6_2" xmlDataType="double"/>
    </xmlCellPr>
  </singleXmlCell>
  <singleXmlCell id="596" xr6:uid="{00000000-000C-0000-FFFF-FFFFAF000000}" r="N120" connectionId="0">
    <xmlCellPr id="1" xr6:uid="{00000000-0010-0000-AF00-000001000000}" uniqueName="1">
      <xmlPr mapId="43" xpath="/ns1:Root/ns1:Prog/ns1:Target_P7_2" xmlDataType="double"/>
    </xmlCellPr>
  </singleXmlCell>
  <singleXmlCell id="597" xr6:uid="{00000000-000C-0000-FFFF-FFFFB0000000}" r="O120" connectionId="0">
    <xmlCellPr id="1" xr6:uid="{00000000-0010-0000-B000-000001000000}" uniqueName="1">
      <xmlPr mapId="43" xpath="/ns1:Root/ns1:Prog/ns1:Target_P8_2" xmlDataType="double"/>
    </xmlCellPr>
  </singleXmlCell>
  <singleXmlCell id="598" xr6:uid="{00000000-000C-0000-FFFF-FFFFB1000000}" r="P120" connectionId="0">
    <xmlCellPr id="1" xr6:uid="{00000000-0010-0000-B100-000001000000}" uniqueName="1">
      <xmlPr mapId="43" xpath="/ns1:Root/ns1:Prog/ns1:Target_P9_2" xmlDataType="double"/>
    </xmlCellPr>
  </singleXmlCell>
  <singleXmlCell id="599" xr6:uid="{00000000-000C-0000-FFFF-FFFFB2000000}" r="Q120" connectionId="0">
    <xmlCellPr id="1" xr6:uid="{00000000-0010-0000-B200-000001000000}" uniqueName="1">
      <xmlPr mapId="43" xpath="/ns1:Root/ns1:Prog/ns1:Target_P10_2" xmlDataType="double"/>
    </xmlCellPr>
  </singleXmlCell>
  <singleXmlCell id="600" xr6:uid="{00000000-000C-0000-FFFF-FFFFB3000000}" r="R120" connectionId="0">
    <xmlCellPr id="1" xr6:uid="{00000000-0010-0000-B300-000001000000}" uniqueName="1">
      <xmlPr mapId="43" xpath="/ns1:Root/ns1:Prog/ns1:Target_P11_2" xmlDataType="double"/>
    </xmlCellPr>
  </singleXmlCell>
  <singleXmlCell id="601" xr6:uid="{00000000-000C-0000-FFFF-FFFFB4000000}" r="S120" connectionId="0">
    <xmlCellPr id="1" xr6:uid="{00000000-0010-0000-B400-000001000000}" uniqueName="1">
      <xmlPr mapId="43" xpath="/ns1:Root/ns1:Prog/ns1:Target_P12_2" xmlDataType="double"/>
    </xmlCellPr>
  </singleXmlCell>
  <singleXmlCell id="602" xr6:uid="{00000000-000C-0000-FFFF-FFFFB5000000}" r="H121" connectionId="0">
    <xmlCellPr id="1" xr6:uid="{00000000-0010-0000-B500-000001000000}" uniqueName="1">
      <xmlPr mapId="43" xpath="/ns1:Root/ns1:Prog/ns1:Achieved__P1_2" xmlDataType="double"/>
    </xmlCellPr>
  </singleXmlCell>
  <singleXmlCell id="603" xr6:uid="{00000000-000C-0000-FFFF-FFFFB6000000}" r="I121" connectionId="0">
    <xmlCellPr id="1" xr6:uid="{00000000-0010-0000-B600-000001000000}" uniqueName="1">
      <xmlPr mapId="43" xpath="/ns1:Root/ns1:Prog/ns1:Achieved__P2_2" xmlDataType="double"/>
    </xmlCellPr>
  </singleXmlCell>
  <singleXmlCell id="604" xr6:uid="{00000000-000C-0000-FFFF-FFFFB7000000}" r="J121" connectionId="0">
    <xmlCellPr id="1" xr6:uid="{00000000-0010-0000-B700-000001000000}" uniqueName="1">
      <xmlPr mapId="43" xpath="/ns1:Root/ns1:Prog/ns1:Achieved__P3_2" xmlDataType="double"/>
    </xmlCellPr>
  </singleXmlCell>
  <singleXmlCell id="605" xr6:uid="{00000000-000C-0000-FFFF-FFFFB8000000}" r="K121" connectionId="0">
    <xmlCellPr id="1" xr6:uid="{00000000-0010-0000-B800-000001000000}" uniqueName="1">
      <xmlPr mapId="43" xpath="/ns1:Root/ns1:Prog/ns1:Achieved__P4_2" xmlDataType="double"/>
    </xmlCellPr>
  </singleXmlCell>
  <singleXmlCell id="606" xr6:uid="{00000000-000C-0000-FFFF-FFFFB9000000}" r="L121" connectionId="0">
    <xmlCellPr id="1" xr6:uid="{00000000-0010-0000-B900-000001000000}" uniqueName="1">
      <xmlPr mapId="43" xpath="/ns1:Root/ns1:Prog/ns1:Achieved__P5_2" xmlDataType="string"/>
    </xmlCellPr>
  </singleXmlCell>
  <singleXmlCell id="607" xr6:uid="{00000000-000C-0000-FFFF-FFFFBA000000}" r="M121" connectionId="0">
    <xmlCellPr id="1" xr6:uid="{00000000-0010-0000-BA00-000001000000}" uniqueName="1">
      <xmlPr mapId="43" xpath="/ns1:Root/ns1:Prog/ns1:Achieved__P6_2" xmlDataType="string"/>
    </xmlCellPr>
  </singleXmlCell>
  <singleXmlCell id="608" xr6:uid="{00000000-000C-0000-FFFF-FFFFBB000000}" r="N121" connectionId="0">
    <xmlCellPr id="1" xr6:uid="{00000000-0010-0000-BB00-000001000000}" uniqueName="1">
      <xmlPr mapId="43" xpath="/ns1:Root/ns1:Prog/ns1:Achieved__P7_2" xmlDataType="string"/>
    </xmlCellPr>
  </singleXmlCell>
  <singleXmlCell id="609" xr6:uid="{00000000-000C-0000-FFFF-FFFFBC000000}" r="O121" connectionId="0">
    <xmlCellPr id="1" xr6:uid="{00000000-0010-0000-BC00-000001000000}" uniqueName="1">
      <xmlPr mapId="43" xpath="/ns1:Root/ns1:Prog/ns1:Achieved__P8_2" xmlDataType="string"/>
    </xmlCellPr>
  </singleXmlCell>
  <singleXmlCell id="610" xr6:uid="{00000000-000C-0000-FFFF-FFFFBD000000}" r="P121" connectionId="0">
    <xmlCellPr id="1" xr6:uid="{00000000-0010-0000-BD00-000001000000}" uniqueName="1">
      <xmlPr mapId="43" xpath="/ns1:Root/ns1:Prog/ns1:Achieved__P9_2" xmlDataType="string"/>
    </xmlCellPr>
  </singleXmlCell>
  <singleXmlCell id="611" xr6:uid="{00000000-000C-0000-FFFF-FFFFBE000000}" r="Q121" connectionId="0">
    <xmlCellPr id="1" xr6:uid="{00000000-0010-0000-BE00-000001000000}" uniqueName="1">
      <xmlPr mapId="43" xpath="/ns1:Root/ns1:Prog/ns1:Achieved__P10_2" xmlDataType="string"/>
    </xmlCellPr>
  </singleXmlCell>
  <singleXmlCell id="612" xr6:uid="{00000000-000C-0000-FFFF-FFFFBF000000}" r="R121" connectionId="0">
    <xmlCellPr id="1" xr6:uid="{00000000-0010-0000-BF00-000001000000}" uniqueName="1">
      <xmlPr mapId="43" xpath="/ns1:Root/ns1:Prog/ns1:Achieved__P11_2" xmlDataType="string"/>
    </xmlCellPr>
  </singleXmlCell>
  <singleXmlCell id="613" xr6:uid="{00000000-000C-0000-FFFF-FFFFC0000000}" r="S121" connectionId="0">
    <xmlCellPr id="1" xr6:uid="{00000000-0010-0000-C000-000001000000}" uniqueName="1">
      <xmlPr mapId="43" xpath="/ns1:Root/ns1:Prog/ns1:Achieved__P12_2" xmlDataType="string"/>
    </xmlCellPr>
  </singleXmlCell>
  <singleXmlCell id="614" xr6:uid="{00000000-000C-0000-FFFF-FFFFC1000000}" r="H124" connectionId="0">
    <xmlCellPr id="1" xr6:uid="{00000000-0010-0000-C100-000001000000}" uniqueName="1">
      <xmlPr mapId="43" xpath="/ns1:Root/ns1:Prog/ns1:Target_P1_3" xmlDataType="double"/>
    </xmlCellPr>
  </singleXmlCell>
  <singleXmlCell id="615" xr6:uid="{00000000-000C-0000-FFFF-FFFFC2000000}" r="I124" connectionId="0">
    <xmlCellPr id="1" xr6:uid="{00000000-0010-0000-C200-000001000000}" uniqueName="1">
      <xmlPr mapId="43" xpath="/ns1:Root/ns1:Prog/ns1:Target_P2_3" xmlDataType="double"/>
    </xmlCellPr>
  </singleXmlCell>
  <singleXmlCell id="616" xr6:uid="{00000000-000C-0000-FFFF-FFFFC3000000}" r="J124" connectionId="0">
    <xmlCellPr id="1" xr6:uid="{00000000-0010-0000-C300-000001000000}" uniqueName="1">
      <xmlPr mapId="43" xpath="/ns1:Root/ns1:Prog/ns1:Target_P3_3" xmlDataType="double"/>
    </xmlCellPr>
  </singleXmlCell>
  <singleXmlCell id="617" xr6:uid="{00000000-000C-0000-FFFF-FFFFC4000000}" r="K124" connectionId="0">
    <xmlCellPr id="1" xr6:uid="{00000000-0010-0000-C400-000001000000}" uniqueName="1">
      <xmlPr mapId="43" xpath="/ns1:Root/ns1:Prog/ns1:Target_P4_3" xmlDataType="double"/>
    </xmlCellPr>
  </singleXmlCell>
  <singleXmlCell id="618" xr6:uid="{00000000-000C-0000-FFFF-FFFFC5000000}" r="L124" connectionId="0">
    <xmlCellPr id="1" xr6:uid="{00000000-0010-0000-C500-000001000000}" uniqueName="1">
      <xmlPr mapId="43" xpath="/ns1:Root/ns1:Prog/ns1:Target_P5_3" xmlDataType="double"/>
    </xmlCellPr>
  </singleXmlCell>
  <singleXmlCell id="619" xr6:uid="{00000000-000C-0000-FFFF-FFFFC6000000}" r="M124" connectionId="0">
    <xmlCellPr id="1" xr6:uid="{00000000-0010-0000-C600-000001000000}" uniqueName="1">
      <xmlPr mapId="43" xpath="/ns1:Root/ns1:Prog/ns1:Target_P6_3" xmlDataType="double"/>
    </xmlCellPr>
  </singleXmlCell>
  <singleXmlCell id="620" xr6:uid="{00000000-000C-0000-FFFF-FFFFC7000000}" r="N124" connectionId="0">
    <xmlCellPr id="1" xr6:uid="{00000000-0010-0000-C700-000001000000}" uniqueName="1">
      <xmlPr mapId="43" xpath="/ns1:Root/ns1:Prog/ns1:Target_P7_3" xmlDataType="double"/>
    </xmlCellPr>
  </singleXmlCell>
  <singleXmlCell id="621" xr6:uid="{00000000-000C-0000-FFFF-FFFFC8000000}" r="O124" connectionId="0">
    <xmlCellPr id="1" xr6:uid="{00000000-0010-0000-C800-000001000000}" uniqueName="1">
      <xmlPr mapId="43" xpath="/ns1:Root/ns1:Prog/ns1:Target_P8_3" xmlDataType="double"/>
    </xmlCellPr>
  </singleXmlCell>
  <singleXmlCell id="622" xr6:uid="{00000000-000C-0000-FFFF-FFFFC9000000}" r="P124" connectionId="0">
    <xmlCellPr id="1" xr6:uid="{00000000-0010-0000-C900-000001000000}" uniqueName="1">
      <xmlPr mapId="43" xpath="/ns1:Root/ns1:Prog/ns1:Target_P9_3" xmlDataType="double"/>
    </xmlCellPr>
  </singleXmlCell>
  <singleXmlCell id="623" xr6:uid="{00000000-000C-0000-FFFF-FFFFCA000000}" r="Q124" connectionId="0">
    <xmlCellPr id="1" xr6:uid="{00000000-0010-0000-CA00-000001000000}" uniqueName="1">
      <xmlPr mapId="43" xpath="/ns1:Root/ns1:Prog/ns1:Target_P10_3" xmlDataType="string"/>
    </xmlCellPr>
  </singleXmlCell>
  <singleXmlCell id="624" xr6:uid="{00000000-000C-0000-FFFF-FFFFCB000000}" r="R124" connectionId="0">
    <xmlCellPr id="1" xr6:uid="{00000000-0010-0000-CB00-000001000000}" uniqueName="1">
      <xmlPr mapId="43" xpath="/ns1:Root/ns1:Prog/ns1:Target_P11_3" xmlDataType="string"/>
    </xmlCellPr>
  </singleXmlCell>
  <singleXmlCell id="625" xr6:uid="{00000000-000C-0000-FFFF-FFFFCC000000}" r="S124" connectionId="0">
    <xmlCellPr id="1" xr6:uid="{00000000-0010-0000-CC00-000001000000}" uniqueName="1">
      <xmlPr mapId="43" xpath="/ns1:Root/ns1:Prog/ns1:Target_P12_3" xmlDataType="double"/>
    </xmlCellPr>
  </singleXmlCell>
  <singleXmlCell id="626" xr6:uid="{00000000-000C-0000-FFFF-FFFFCD000000}" r="H125" connectionId="0">
    <xmlCellPr id="1" xr6:uid="{00000000-0010-0000-CD00-000001000000}" uniqueName="1">
      <xmlPr mapId="43" xpath="/ns1:Root/ns1:Prog/ns1:Achieved__P1_3" xmlDataType="string"/>
    </xmlCellPr>
  </singleXmlCell>
  <singleXmlCell id="627" xr6:uid="{00000000-000C-0000-FFFF-FFFFCE000000}" r="I125" connectionId="0">
    <xmlCellPr id="1" xr6:uid="{00000000-0010-0000-CE00-000001000000}" uniqueName="1">
      <xmlPr mapId="43" xpath="/ns1:Root/ns1:Prog/ns1:Achieved__P2_3" xmlDataType="double"/>
    </xmlCellPr>
  </singleXmlCell>
  <singleXmlCell id="628" xr6:uid="{00000000-000C-0000-FFFF-FFFFCF000000}" r="J125" connectionId="0">
    <xmlCellPr id="1" xr6:uid="{00000000-0010-0000-CF00-000001000000}" uniqueName="1">
      <xmlPr mapId="43" xpath="/ns1:Root/ns1:Prog/ns1:Achieved__P3_3" xmlDataType="string"/>
    </xmlCellPr>
  </singleXmlCell>
  <singleXmlCell id="629" xr6:uid="{00000000-000C-0000-FFFF-FFFFD0000000}" r="K125" connectionId="0">
    <xmlCellPr id="1" xr6:uid="{00000000-0010-0000-D000-000001000000}" uniqueName="1">
      <xmlPr mapId="43" xpath="/ns1:Root/ns1:Prog/ns1:Achieved__P4_3" xmlDataType="double"/>
    </xmlCellPr>
  </singleXmlCell>
  <singleXmlCell id="630" xr6:uid="{00000000-000C-0000-FFFF-FFFFD1000000}" r="L125" connectionId="0">
    <xmlCellPr id="1" xr6:uid="{00000000-0010-0000-D100-000001000000}" uniqueName="1">
      <xmlPr mapId="43" xpath="/ns1:Root/ns1:Prog/ns1:Achieved__P5_3" xmlDataType="string"/>
    </xmlCellPr>
  </singleXmlCell>
  <singleXmlCell id="631" xr6:uid="{00000000-000C-0000-FFFF-FFFFD2000000}" r="M125" connectionId="0">
    <xmlCellPr id="1" xr6:uid="{00000000-0010-0000-D200-000001000000}" uniqueName="1">
      <xmlPr mapId="43" xpath="/ns1:Root/ns1:Prog/ns1:Achieved__P6_3" xmlDataType="string"/>
    </xmlCellPr>
  </singleXmlCell>
  <singleXmlCell id="632" xr6:uid="{00000000-000C-0000-FFFF-FFFFD3000000}" r="N125" connectionId="0">
    <xmlCellPr id="1" xr6:uid="{00000000-0010-0000-D300-000001000000}" uniqueName="1">
      <xmlPr mapId="43" xpath="/ns1:Root/ns1:Prog/ns1:Achieved__P7_3" xmlDataType="string"/>
    </xmlCellPr>
  </singleXmlCell>
  <singleXmlCell id="633" xr6:uid="{00000000-000C-0000-FFFF-FFFFD4000000}" r="O125" connectionId="0">
    <xmlCellPr id="1" xr6:uid="{00000000-0010-0000-D400-000001000000}" uniqueName="1">
      <xmlPr mapId="43" xpath="/ns1:Root/ns1:Prog/ns1:Achieved__P8_3" xmlDataType="string"/>
    </xmlCellPr>
  </singleXmlCell>
  <singleXmlCell id="634" xr6:uid="{00000000-000C-0000-FFFF-FFFFD5000000}" r="P125" connectionId="0">
    <xmlCellPr id="1" xr6:uid="{00000000-0010-0000-D500-000001000000}" uniqueName="1">
      <xmlPr mapId="43" xpath="/ns1:Root/ns1:Prog/ns1:Achieved__P9_3" xmlDataType="string"/>
    </xmlCellPr>
  </singleXmlCell>
  <singleXmlCell id="635" xr6:uid="{00000000-000C-0000-FFFF-FFFFD6000000}" r="Q125" connectionId="0">
    <xmlCellPr id="1" xr6:uid="{00000000-0010-0000-D600-000001000000}" uniqueName="1">
      <xmlPr mapId="43" xpath="/ns1:Root/ns1:Prog/ns1:Achieved__P10_3" xmlDataType="string"/>
    </xmlCellPr>
  </singleXmlCell>
  <singleXmlCell id="636" xr6:uid="{00000000-000C-0000-FFFF-FFFFD7000000}" r="R125" connectionId="0">
    <xmlCellPr id="1" xr6:uid="{00000000-0010-0000-D700-000001000000}" uniqueName="1">
      <xmlPr mapId="43" xpath="/ns1:Root/ns1:Prog/ns1:Achieved__P11_3" xmlDataType="string"/>
    </xmlCellPr>
  </singleXmlCell>
  <singleXmlCell id="637" xr6:uid="{00000000-000C-0000-FFFF-FFFFD8000000}" r="S125" connectionId="0">
    <xmlCellPr id="1" xr6:uid="{00000000-0010-0000-D800-000001000000}" uniqueName="1">
      <xmlPr mapId="43" xpath="/ns1:Root/ns1:Prog/ns1:Achieved__P12_3" xmlDataType="string"/>
    </xmlCellPr>
  </singleXmlCell>
  <singleXmlCell id="638" xr6:uid="{00000000-000C-0000-FFFF-FFFFD9000000}" r="H128" connectionId="0">
    <xmlCellPr id="1" xr6:uid="{00000000-0010-0000-D900-000001000000}" uniqueName="1">
      <xmlPr mapId="43" xpath="/ns1:Root/ns1:Prog/ns1:Target_P1_4" xmlDataType="string"/>
    </xmlCellPr>
  </singleXmlCell>
  <singleXmlCell id="639" xr6:uid="{00000000-000C-0000-FFFF-FFFFDA000000}" r="I128" connectionId="0">
    <xmlCellPr id="1" xr6:uid="{00000000-0010-0000-DA00-000001000000}" uniqueName="1">
      <xmlPr mapId="43" xpath="/ns1:Root/ns1:Prog/ns1:Target_P2_4" xmlDataType="string"/>
    </xmlCellPr>
  </singleXmlCell>
  <singleXmlCell id="640" xr6:uid="{00000000-000C-0000-FFFF-FFFFDB000000}" r="J128" connectionId="0">
    <xmlCellPr id="1" xr6:uid="{00000000-0010-0000-DB00-000001000000}" uniqueName="1">
      <xmlPr mapId="43" xpath="/ns1:Root/ns1:Prog/ns1:Target_P3_4" xmlDataType="string"/>
    </xmlCellPr>
  </singleXmlCell>
  <singleXmlCell id="641" xr6:uid="{00000000-000C-0000-FFFF-FFFFDC000000}" r="K128" connectionId="0">
    <xmlCellPr id="1" xr6:uid="{00000000-0010-0000-DC00-000001000000}" uniqueName="1">
      <xmlPr mapId="43" xpath="/ns1:Root/ns1:Prog/ns1:Target_P4_4" xmlDataType="double"/>
    </xmlCellPr>
  </singleXmlCell>
  <singleXmlCell id="642" xr6:uid="{00000000-000C-0000-FFFF-FFFFDD000000}" r="L128" connectionId="0">
    <xmlCellPr id="1" xr6:uid="{00000000-0010-0000-DD00-000001000000}" uniqueName="1">
      <xmlPr mapId="43" xpath="/ns1:Root/ns1:Prog/ns1:Target_P5_4" xmlDataType="string"/>
    </xmlCellPr>
  </singleXmlCell>
  <singleXmlCell id="643" xr6:uid="{00000000-000C-0000-FFFF-FFFFDE000000}" r="M128" connectionId="0">
    <xmlCellPr id="1" xr6:uid="{00000000-0010-0000-DE00-000001000000}" uniqueName="1">
      <xmlPr mapId="43" xpath="/ns1:Root/ns1:Prog/ns1:Target_P6_4" xmlDataType="string"/>
    </xmlCellPr>
  </singleXmlCell>
  <singleXmlCell id="644" xr6:uid="{00000000-000C-0000-FFFF-FFFFDF000000}" r="N128" connectionId="0">
    <xmlCellPr id="1" xr6:uid="{00000000-0010-0000-DF00-000001000000}" uniqueName="1">
      <xmlPr mapId="43" xpath="/ns1:Root/ns1:Prog/ns1:Target_P7_4" xmlDataType="string"/>
    </xmlCellPr>
  </singleXmlCell>
  <singleXmlCell id="645" xr6:uid="{00000000-000C-0000-FFFF-FFFFE0000000}" r="O128" connectionId="0">
    <xmlCellPr id="1" xr6:uid="{00000000-0010-0000-E000-000001000000}" uniqueName="1">
      <xmlPr mapId="43" xpath="/ns1:Root/ns1:Prog/ns1:Target_P8_4" xmlDataType="double"/>
    </xmlCellPr>
  </singleXmlCell>
  <singleXmlCell id="646" xr6:uid="{00000000-000C-0000-FFFF-FFFFE1000000}" r="P128" connectionId="0">
    <xmlCellPr id="1" xr6:uid="{00000000-0010-0000-E100-000001000000}" uniqueName="1">
      <xmlPr mapId="43" xpath="/ns1:Root/ns1:Prog/ns1:Target_P9_4" xmlDataType="string"/>
    </xmlCellPr>
  </singleXmlCell>
  <singleXmlCell id="647" xr6:uid="{00000000-000C-0000-FFFF-FFFFE2000000}" r="Q128" connectionId="0">
    <xmlCellPr id="1" xr6:uid="{00000000-0010-0000-E200-000001000000}" uniqueName="1">
      <xmlPr mapId="43" xpath="/ns1:Root/ns1:Prog/ns1:Target_P10_4" xmlDataType="string"/>
    </xmlCellPr>
  </singleXmlCell>
  <singleXmlCell id="648" xr6:uid="{00000000-000C-0000-FFFF-FFFFE3000000}" r="R128" connectionId="0">
    <xmlCellPr id="1" xr6:uid="{00000000-0010-0000-E300-000001000000}" uniqueName="1">
      <xmlPr mapId="43" xpath="/ns1:Root/ns1:Prog/ns1:Target_P11_4" xmlDataType="string"/>
    </xmlCellPr>
  </singleXmlCell>
  <singleXmlCell id="649" xr6:uid="{00000000-000C-0000-FFFF-FFFFE4000000}" r="S128" connectionId="0">
    <xmlCellPr id="1" xr6:uid="{00000000-0010-0000-E400-000001000000}" uniqueName="1">
      <xmlPr mapId="43" xpath="/ns1:Root/ns1:Prog/ns1:Target_P12_4" xmlDataType="double"/>
    </xmlCellPr>
  </singleXmlCell>
  <singleXmlCell id="650" xr6:uid="{00000000-000C-0000-FFFF-FFFFE5000000}" r="H129" connectionId="0">
    <xmlCellPr id="1" xr6:uid="{00000000-0010-0000-E500-000001000000}" uniqueName="1">
      <xmlPr mapId="43" xpath="/ns1:Root/ns1:Prog/ns1:Achieved__P1_4" xmlDataType="string"/>
    </xmlCellPr>
  </singleXmlCell>
  <singleXmlCell id="651" xr6:uid="{00000000-000C-0000-FFFF-FFFFE6000000}" r="I129" connectionId="0">
    <xmlCellPr id="1" xr6:uid="{00000000-0010-0000-E600-000001000000}" uniqueName="1">
      <xmlPr mapId="43" xpath="/ns1:Root/ns1:Prog/ns1:Achieved__P2_4" xmlDataType="string"/>
    </xmlCellPr>
  </singleXmlCell>
  <singleXmlCell id="652" xr6:uid="{00000000-000C-0000-FFFF-FFFFE7000000}" r="J129" connectionId="0">
    <xmlCellPr id="1" xr6:uid="{00000000-0010-0000-E700-000001000000}" uniqueName="1">
      <xmlPr mapId="43" xpath="/ns1:Root/ns1:Prog/ns1:Achieved__P3_4" xmlDataType="string"/>
    </xmlCellPr>
  </singleXmlCell>
  <singleXmlCell id="653" xr6:uid="{00000000-000C-0000-FFFF-FFFFE8000000}" r="K129" connectionId="0">
    <xmlCellPr id="1" xr6:uid="{00000000-0010-0000-E800-000001000000}" uniqueName="1">
      <xmlPr mapId="43" xpath="/ns1:Root/ns1:Prog/ns1:Achieved__P4_4" xmlDataType="double"/>
    </xmlCellPr>
  </singleXmlCell>
  <singleXmlCell id="654" xr6:uid="{00000000-000C-0000-FFFF-FFFFE9000000}" r="L129" connectionId="0">
    <xmlCellPr id="1" xr6:uid="{00000000-0010-0000-E900-000001000000}" uniqueName="1">
      <xmlPr mapId="43" xpath="/ns1:Root/ns1:Prog/ns1:Achieved__P5_4" xmlDataType="string"/>
    </xmlCellPr>
  </singleXmlCell>
  <singleXmlCell id="655" xr6:uid="{00000000-000C-0000-FFFF-FFFFEA000000}" r="M129" connectionId="0">
    <xmlCellPr id="1" xr6:uid="{00000000-0010-0000-EA00-000001000000}" uniqueName="1">
      <xmlPr mapId="43" xpath="/ns1:Root/ns1:Prog/ns1:Achieved__P6_4" xmlDataType="string"/>
    </xmlCellPr>
  </singleXmlCell>
  <singleXmlCell id="656" xr6:uid="{00000000-000C-0000-FFFF-FFFFEB000000}" r="N129" connectionId="0">
    <xmlCellPr id="1" xr6:uid="{00000000-0010-0000-EB00-000001000000}" uniqueName="1">
      <xmlPr mapId="43" xpath="/ns1:Root/ns1:Prog/ns1:Achieved__P7_4" xmlDataType="string"/>
    </xmlCellPr>
  </singleXmlCell>
  <singleXmlCell id="657" xr6:uid="{00000000-000C-0000-FFFF-FFFFEC000000}" r="O129" connectionId="0">
    <xmlCellPr id="1" xr6:uid="{00000000-0010-0000-EC00-000001000000}" uniqueName="1">
      <xmlPr mapId="43" xpath="/ns1:Root/ns1:Prog/ns1:Achieved__P8_4" xmlDataType="string"/>
    </xmlCellPr>
  </singleXmlCell>
  <singleXmlCell id="658" xr6:uid="{00000000-000C-0000-FFFF-FFFFED000000}" r="P129" connectionId="0">
    <xmlCellPr id="1" xr6:uid="{00000000-0010-0000-ED00-000001000000}" uniqueName="1">
      <xmlPr mapId="43" xpath="/ns1:Root/ns1:Prog/ns1:Achieved__P9_4" xmlDataType="string"/>
    </xmlCellPr>
  </singleXmlCell>
  <singleXmlCell id="659" xr6:uid="{00000000-000C-0000-FFFF-FFFFEE000000}" r="Q129" connectionId="0">
    <xmlCellPr id="1" xr6:uid="{00000000-0010-0000-EE00-000001000000}" uniqueName="1">
      <xmlPr mapId="43" xpath="/ns1:Root/ns1:Prog/ns1:Achieved__P10_4" xmlDataType="string"/>
    </xmlCellPr>
  </singleXmlCell>
  <singleXmlCell id="660" xr6:uid="{00000000-000C-0000-FFFF-FFFFEF000000}" r="R129" connectionId="0">
    <xmlCellPr id="1" xr6:uid="{00000000-0010-0000-EF00-000001000000}" uniqueName="1">
      <xmlPr mapId="43" xpath="/ns1:Root/ns1:Prog/ns1:Achieved__P11_4" xmlDataType="string"/>
    </xmlCellPr>
  </singleXmlCell>
  <singleXmlCell id="661" xr6:uid="{00000000-000C-0000-FFFF-FFFFF0000000}" r="S129" connectionId="0">
    <xmlCellPr id="1" xr6:uid="{00000000-0010-0000-F000-000001000000}" uniqueName="1">
      <xmlPr mapId="43" xpath="/ns1:Root/ns1:Prog/ns1:Achieved__P12_4" xmlDataType="string"/>
    </xmlCellPr>
  </singleXmlCell>
  <singleXmlCell id="662" xr6:uid="{00000000-000C-0000-FFFF-FFFFF1000000}" r="H132" connectionId="0">
    <xmlCellPr id="1" xr6:uid="{00000000-0010-0000-F100-000001000000}" uniqueName="1">
      <xmlPr mapId="43" xpath="/ns1:Root/ns1:Prog/ns1:Target_P1_5" xmlDataType="double"/>
    </xmlCellPr>
  </singleXmlCell>
  <singleXmlCell id="663" xr6:uid="{00000000-000C-0000-FFFF-FFFFF2000000}" r="I132" connectionId="0">
    <xmlCellPr id="1" xr6:uid="{00000000-0010-0000-F200-000001000000}" uniqueName="1">
      <xmlPr mapId="43" xpath="/ns1:Root/ns1:Prog/ns1:Target_P2_5" xmlDataType="double"/>
    </xmlCellPr>
  </singleXmlCell>
  <singleXmlCell id="664" xr6:uid="{00000000-000C-0000-FFFF-FFFFF3000000}" r="J132" connectionId="0">
    <xmlCellPr id="1" xr6:uid="{00000000-0010-0000-F300-000001000000}" uniqueName="1">
      <xmlPr mapId="43" xpath="/ns1:Root/ns1:Prog/ns1:Target_P3_5" xmlDataType="double"/>
    </xmlCellPr>
  </singleXmlCell>
  <singleXmlCell id="665" xr6:uid="{00000000-000C-0000-FFFF-FFFFF4000000}" r="K132" connectionId="0">
    <xmlCellPr id="1" xr6:uid="{00000000-0010-0000-F400-000001000000}" uniqueName="1">
      <xmlPr mapId="43" xpath="/ns1:Root/ns1:Prog/ns1:Target_P4_5" xmlDataType="double"/>
    </xmlCellPr>
  </singleXmlCell>
  <singleXmlCell id="666" xr6:uid="{00000000-000C-0000-FFFF-FFFFF5000000}" r="L132" connectionId="0">
    <xmlCellPr id="1" xr6:uid="{00000000-0010-0000-F500-000001000000}" uniqueName="1">
      <xmlPr mapId="43" xpath="/ns1:Root/ns1:Prog/ns1:Target_P5_5" xmlDataType="double"/>
    </xmlCellPr>
  </singleXmlCell>
  <singleXmlCell id="667" xr6:uid="{00000000-000C-0000-FFFF-FFFFF6000000}" r="M132" connectionId="0">
    <xmlCellPr id="1" xr6:uid="{00000000-0010-0000-F600-000001000000}" uniqueName="1">
      <xmlPr mapId="43" xpath="/ns1:Root/ns1:Prog/ns1:Target_P6_5" xmlDataType="double"/>
    </xmlCellPr>
  </singleXmlCell>
  <singleXmlCell id="668" xr6:uid="{00000000-000C-0000-FFFF-FFFFF7000000}" r="N132" connectionId="0">
    <xmlCellPr id="1" xr6:uid="{00000000-0010-0000-F700-000001000000}" uniqueName="1">
      <xmlPr mapId="43" xpath="/ns1:Root/ns1:Prog/ns1:Target_P7_5" xmlDataType="double"/>
    </xmlCellPr>
  </singleXmlCell>
  <singleXmlCell id="669" xr6:uid="{00000000-000C-0000-FFFF-FFFFF8000000}" r="O132" connectionId="0">
    <xmlCellPr id="1" xr6:uid="{00000000-0010-0000-F800-000001000000}" uniqueName="1">
      <xmlPr mapId="43" xpath="/ns1:Root/ns1:Prog/ns1:Target_P8_5" xmlDataType="double"/>
    </xmlCellPr>
  </singleXmlCell>
  <singleXmlCell id="670" xr6:uid="{00000000-000C-0000-FFFF-FFFFF9000000}" r="P132" connectionId="0">
    <xmlCellPr id="1" xr6:uid="{00000000-0010-0000-F900-000001000000}" uniqueName="1">
      <xmlPr mapId="43" xpath="/ns1:Root/ns1:Prog/ns1:Target_P9_5" xmlDataType="double"/>
    </xmlCellPr>
  </singleXmlCell>
  <singleXmlCell id="671" xr6:uid="{00000000-000C-0000-FFFF-FFFFFA000000}" r="Q132" connectionId="0">
    <xmlCellPr id="1" xr6:uid="{00000000-0010-0000-FA00-000001000000}" uniqueName="1">
      <xmlPr mapId="43" xpath="/ns1:Root/ns1:Prog/ns1:Target_P10_5" xmlDataType="double"/>
    </xmlCellPr>
  </singleXmlCell>
  <singleXmlCell id="672" xr6:uid="{00000000-000C-0000-FFFF-FFFFFB000000}" r="R132" connectionId="0">
    <xmlCellPr id="1" xr6:uid="{00000000-0010-0000-FB00-000001000000}" uniqueName="1">
      <xmlPr mapId="43" xpath="/ns1:Root/ns1:Prog/ns1:Target_P11_5" xmlDataType="double"/>
    </xmlCellPr>
  </singleXmlCell>
  <singleXmlCell id="673" xr6:uid="{00000000-000C-0000-FFFF-FFFFFC000000}" r="S132" connectionId="0">
    <xmlCellPr id="1" xr6:uid="{00000000-0010-0000-FC00-000001000000}" uniqueName="1">
      <xmlPr mapId="43" xpath="/ns1:Root/ns1:Prog/ns1:Target_P12_5" xmlDataType="double"/>
    </xmlCellPr>
  </singleXmlCell>
  <singleXmlCell id="674" xr6:uid="{00000000-000C-0000-FFFF-FFFFFD000000}" r="H133" connectionId="0">
    <xmlCellPr id="1" xr6:uid="{00000000-0010-0000-FD00-000001000000}" uniqueName="1">
      <xmlPr mapId="43" xpath="/ns1:Root/ns1:Prog/ns1:Achieved__P1_5" xmlDataType="double"/>
    </xmlCellPr>
  </singleXmlCell>
  <singleXmlCell id="675" xr6:uid="{00000000-000C-0000-FFFF-FFFFFE000000}" r="I133" connectionId="0">
    <xmlCellPr id="1" xr6:uid="{00000000-0010-0000-FE00-000001000000}" uniqueName="1">
      <xmlPr mapId="43" xpath="/ns1:Root/ns1:Prog/ns1:Achieved__P2_5" xmlDataType="double"/>
    </xmlCellPr>
  </singleXmlCell>
  <singleXmlCell id="676" xr6:uid="{00000000-000C-0000-FFFF-FFFFFF000000}" r="J133" connectionId="0">
    <xmlCellPr id="1" xr6:uid="{00000000-0010-0000-FF00-000001000000}" uniqueName="1">
      <xmlPr mapId="43" xpath="/ns1:Root/ns1:Prog/ns1:Achieved__P3_5" xmlDataType="double"/>
    </xmlCellPr>
  </singleXmlCell>
  <singleXmlCell id="677" xr6:uid="{00000000-000C-0000-FFFF-FFFF00010000}" r="K133" connectionId="0">
    <xmlCellPr id="1" xr6:uid="{00000000-0010-0000-0001-000001000000}" uniqueName="1">
      <xmlPr mapId="43" xpath="/ns1:Root/ns1:Prog/ns1:Achieved__P4_5" xmlDataType="double"/>
    </xmlCellPr>
  </singleXmlCell>
  <singleXmlCell id="678" xr6:uid="{00000000-000C-0000-FFFF-FFFF01010000}" r="L133" connectionId="0">
    <xmlCellPr id="1" xr6:uid="{00000000-0010-0000-0101-000001000000}" uniqueName="1">
      <xmlPr mapId="43" xpath="/ns1:Root/ns1:Prog/ns1:Achieved__P5_5" xmlDataType="string"/>
    </xmlCellPr>
  </singleXmlCell>
  <singleXmlCell id="679" xr6:uid="{00000000-000C-0000-FFFF-FFFF02010000}" r="M133" connectionId="0">
    <xmlCellPr id="1" xr6:uid="{00000000-0010-0000-0201-000001000000}" uniqueName="1">
      <xmlPr mapId="43" xpath="/ns1:Root/ns1:Prog/ns1:Achieved__P6_5" xmlDataType="string"/>
    </xmlCellPr>
  </singleXmlCell>
  <singleXmlCell id="680" xr6:uid="{00000000-000C-0000-FFFF-FFFF03010000}" r="N133" connectionId="0">
    <xmlCellPr id="1" xr6:uid="{00000000-0010-0000-0301-000001000000}" uniqueName="1">
      <xmlPr mapId="43" xpath="/ns1:Root/ns1:Prog/ns1:Achieved__P7_5" xmlDataType="string"/>
    </xmlCellPr>
  </singleXmlCell>
  <singleXmlCell id="681" xr6:uid="{00000000-000C-0000-FFFF-FFFF04010000}" r="O133" connectionId="0">
    <xmlCellPr id="1" xr6:uid="{00000000-0010-0000-0401-000001000000}" uniqueName="1">
      <xmlPr mapId="43" xpath="/ns1:Root/ns1:Prog/ns1:Achieved__P8_5" xmlDataType="string"/>
    </xmlCellPr>
  </singleXmlCell>
  <singleXmlCell id="682" xr6:uid="{00000000-000C-0000-FFFF-FFFF05010000}" r="P133" connectionId="0">
    <xmlCellPr id="1" xr6:uid="{00000000-0010-0000-0501-000001000000}" uniqueName="1">
      <xmlPr mapId="43" xpath="/ns1:Root/ns1:Prog/ns1:Achieved__P9_5" xmlDataType="string"/>
    </xmlCellPr>
  </singleXmlCell>
  <singleXmlCell id="683" xr6:uid="{00000000-000C-0000-FFFF-FFFF06010000}" r="Q133" connectionId="0">
    <xmlCellPr id="1" xr6:uid="{00000000-0010-0000-0601-000001000000}" uniqueName="1">
      <xmlPr mapId="43" xpath="/ns1:Root/ns1:Prog/ns1:Achieved__P10_5" xmlDataType="string"/>
    </xmlCellPr>
  </singleXmlCell>
  <singleXmlCell id="684" xr6:uid="{00000000-000C-0000-FFFF-FFFF07010000}" r="R133" connectionId="0">
    <xmlCellPr id="1" xr6:uid="{00000000-0010-0000-0701-000001000000}" uniqueName="1">
      <xmlPr mapId="43" xpath="/ns1:Root/ns1:Prog/ns1:Achieved__P11_5" xmlDataType="string"/>
    </xmlCellPr>
  </singleXmlCell>
  <singleXmlCell id="685" xr6:uid="{00000000-000C-0000-FFFF-FFFF08010000}" r="S133" connectionId="0">
    <xmlCellPr id="1" xr6:uid="{00000000-0010-0000-0801-000001000000}" uniqueName="1">
      <xmlPr mapId="43" xpath="/ns1:Root/ns1:Prog/ns1:Achieved__P12_5" xmlDataType="string"/>
    </xmlCellPr>
  </singleXmlCell>
  <singleXmlCell id="686" xr6:uid="{00000000-000C-0000-FFFF-FFFF09010000}" r="H134" connectionId="0">
    <xmlCellPr id="1" xr6:uid="{00000000-0010-0000-0901-000001000000}" uniqueName="1">
      <xmlPr mapId="43" xpath="/ns1:Root/ns1:Prog/ns1:Target_P1_6" xmlDataType="double"/>
    </xmlCellPr>
  </singleXmlCell>
  <singleXmlCell id="687" xr6:uid="{00000000-000C-0000-FFFF-FFFF0A010000}" r="I134" connectionId="0">
    <xmlCellPr id="1" xr6:uid="{00000000-0010-0000-0A01-000001000000}" uniqueName="1">
      <xmlPr mapId="43" xpath="/ns1:Root/ns1:Prog/ns1:Target_P2_6" xmlDataType="double"/>
    </xmlCellPr>
  </singleXmlCell>
  <singleXmlCell id="688" xr6:uid="{00000000-000C-0000-FFFF-FFFF0B010000}" r="J134" connectionId="0">
    <xmlCellPr id="1" xr6:uid="{00000000-0010-0000-0B01-000001000000}" uniqueName="1">
      <xmlPr mapId="43" xpath="/ns1:Root/ns1:Prog/ns1:Target_P3_6" xmlDataType="double"/>
    </xmlCellPr>
  </singleXmlCell>
  <singleXmlCell id="689" xr6:uid="{00000000-000C-0000-FFFF-FFFF0C010000}" r="K134" connectionId="0">
    <xmlCellPr id="1" xr6:uid="{00000000-0010-0000-0C01-000001000000}" uniqueName="1">
      <xmlPr mapId="43" xpath="/ns1:Root/ns1:Prog/ns1:Target_P4_6" xmlDataType="double"/>
    </xmlCellPr>
  </singleXmlCell>
  <singleXmlCell id="690" xr6:uid="{00000000-000C-0000-FFFF-FFFF0D010000}" r="L134" connectionId="0">
    <xmlCellPr id="1" xr6:uid="{00000000-0010-0000-0D01-000001000000}" uniqueName="1">
      <xmlPr mapId="43" xpath="/ns1:Root/ns1:Prog/ns1:Target_P5_6" xmlDataType="double"/>
    </xmlCellPr>
  </singleXmlCell>
  <singleXmlCell id="691" xr6:uid="{00000000-000C-0000-FFFF-FFFF0E010000}" r="M134" connectionId="0">
    <xmlCellPr id="1" xr6:uid="{00000000-0010-0000-0E01-000001000000}" uniqueName="1">
      <xmlPr mapId="43" xpath="/ns1:Root/ns1:Prog/ns1:Target_P6_6" xmlDataType="double"/>
    </xmlCellPr>
  </singleXmlCell>
  <singleXmlCell id="692" xr6:uid="{00000000-000C-0000-FFFF-FFFF0F010000}" r="N134" connectionId="0">
    <xmlCellPr id="1" xr6:uid="{00000000-0010-0000-0F01-000001000000}" uniqueName="1">
      <xmlPr mapId="43" xpath="/ns1:Root/ns1:Prog/ns1:Target_P7_6" xmlDataType="double"/>
    </xmlCellPr>
  </singleXmlCell>
  <singleXmlCell id="693" xr6:uid="{00000000-000C-0000-FFFF-FFFF10010000}" r="O134" connectionId="0">
    <xmlCellPr id="1" xr6:uid="{00000000-0010-0000-1001-000001000000}" uniqueName="1">
      <xmlPr mapId="43" xpath="/ns1:Root/ns1:Prog/ns1:Target_P8_6" xmlDataType="double"/>
    </xmlCellPr>
  </singleXmlCell>
  <singleXmlCell id="694" xr6:uid="{00000000-000C-0000-FFFF-FFFF11010000}" r="P134" connectionId="0">
    <xmlCellPr id="1" xr6:uid="{00000000-0010-0000-1101-000001000000}" uniqueName="1">
      <xmlPr mapId="43" xpath="/ns1:Root/ns1:Prog/ns1:Target_P9_6" xmlDataType="double"/>
    </xmlCellPr>
  </singleXmlCell>
  <singleXmlCell id="695" xr6:uid="{00000000-000C-0000-FFFF-FFFF12010000}" r="Q134" connectionId="0">
    <xmlCellPr id="1" xr6:uid="{00000000-0010-0000-1201-000001000000}" uniqueName="1">
      <xmlPr mapId="43" xpath="/ns1:Root/ns1:Prog/ns1:Target_P10_6" xmlDataType="double"/>
    </xmlCellPr>
  </singleXmlCell>
  <singleXmlCell id="696" xr6:uid="{00000000-000C-0000-FFFF-FFFF13010000}" r="R134" connectionId="0">
    <xmlCellPr id="1" xr6:uid="{00000000-0010-0000-1301-000001000000}" uniqueName="1">
      <xmlPr mapId="43" xpath="/ns1:Root/ns1:Prog/ns1:Target_P11_6" xmlDataType="double"/>
    </xmlCellPr>
  </singleXmlCell>
  <singleXmlCell id="697" xr6:uid="{00000000-000C-0000-FFFF-FFFF14010000}" r="S134" connectionId="0">
    <xmlCellPr id="1" xr6:uid="{00000000-0010-0000-1401-000001000000}" uniqueName="1">
      <xmlPr mapId="43" xpath="/ns1:Root/ns1:Prog/ns1:Target_P12_6" xmlDataType="double"/>
    </xmlCellPr>
  </singleXmlCell>
  <singleXmlCell id="698" xr6:uid="{00000000-000C-0000-FFFF-FFFF15010000}" r="H135" connectionId="0">
    <xmlCellPr id="1" xr6:uid="{00000000-0010-0000-1501-000001000000}" uniqueName="1">
      <xmlPr mapId="43" xpath="/ns1:Root/ns1:Prog/ns1:Achieved__P1_6" xmlDataType="double"/>
    </xmlCellPr>
  </singleXmlCell>
  <singleXmlCell id="699" xr6:uid="{00000000-000C-0000-FFFF-FFFF16010000}" r="I135" connectionId="0">
    <xmlCellPr id="1" xr6:uid="{00000000-0010-0000-1601-000001000000}" uniqueName="1">
      <xmlPr mapId="43" xpath="/ns1:Root/ns1:Prog/ns1:Achieved__P2_6" xmlDataType="double"/>
    </xmlCellPr>
  </singleXmlCell>
  <singleXmlCell id="700" xr6:uid="{00000000-000C-0000-FFFF-FFFF17010000}" r="J135" connectionId="0">
    <xmlCellPr id="1" xr6:uid="{00000000-0010-0000-1701-000001000000}" uniqueName="1">
      <xmlPr mapId="43" xpath="/ns1:Root/ns1:Prog/ns1:Achieved__P3_6" xmlDataType="double"/>
    </xmlCellPr>
  </singleXmlCell>
  <singleXmlCell id="701" xr6:uid="{00000000-000C-0000-FFFF-FFFF18010000}" r="K135" connectionId="0">
    <xmlCellPr id="1" xr6:uid="{00000000-0010-0000-1801-000001000000}" uniqueName="1">
      <xmlPr mapId="43" xpath="/ns1:Root/ns1:Prog/ns1:Achieved__P4_6" xmlDataType="double"/>
    </xmlCellPr>
  </singleXmlCell>
  <singleXmlCell id="702" xr6:uid="{00000000-000C-0000-FFFF-FFFF19010000}" r="L135" connectionId="0">
    <xmlCellPr id="1" xr6:uid="{00000000-0010-0000-1901-000001000000}" uniqueName="1">
      <xmlPr mapId="43" xpath="/ns1:Root/ns1:Prog/ns1:Achieved__P5_6" xmlDataType="string"/>
    </xmlCellPr>
  </singleXmlCell>
  <singleXmlCell id="703" xr6:uid="{00000000-000C-0000-FFFF-FFFF1A010000}" r="M135" connectionId="0">
    <xmlCellPr id="1" xr6:uid="{00000000-0010-0000-1A01-000001000000}" uniqueName="1">
      <xmlPr mapId="43" xpath="/ns1:Root/ns1:Prog/ns1:Achieved__P6_6" xmlDataType="string"/>
    </xmlCellPr>
  </singleXmlCell>
  <singleXmlCell id="704" xr6:uid="{00000000-000C-0000-FFFF-FFFF1B010000}" r="N135" connectionId="0">
    <xmlCellPr id="1" xr6:uid="{00000000-0010-0000-1B01-000001000000}" uniqueName="1">
      <xmlPr mapId="43" xpath="/ns1:Root/ns1:Prog/ns1:Achieved__P7_6" xmlDataType="string"/>
    </xmlCellPr>
  </singleXmlCell>
  <singleXmlCell id="705" xr6:uid="{00000000-000C-0000-FFFF-FFFF1C010000}" r="O135" connectionId="0">
    <xmlCellPr id="1" xr6:uid="{00000000-0010-0000-1C01-000001000000}" uniqueName="1">
      <xmlPr mapId="43" xpath="/ns1:Root/ns1:Prog/ns1:Achieved__P8_6" xmlDataType="string"/>
    </xmlCellPr>
  </singleXmlCell>
  <singleXmlCell id="706" xr6:uid="{00000000-000C-0000-FFFF-FFFF1D010000}" r="P135" connectionId="0">
    <xmlCellPr id="1" xr6:uid="{00000000-0010-0000-1D01-000001000000}" uniqueName="1">
      <xmlPr mapId="43" xpath="/ns1:Root/ns1:Prog/ns1:Achieved__P9_6" xmlDataType="string"/>
    </xmlCellPr>
  </singleXmlCell>
  <singleXmlCell id="707" xr6:uid="{00000000-000C-0000-FFFF-FFFF1E010000}" r="Q135" connectionId="0">
    <xmlCellPr id="1" xr6:uid="{00000000-0010-0000-1E01-000001000000}" uniqueName="1">
      <xmlPr mapId="43" xpath="/ns1:Root/ns1:Prog/ns1:Achieved__P10_6" xmlDataType="string"/>
    </xmlCellPr>
  </singleXmlCell>
  <singleXmlCell id="708" xr6:uid="{00000000-000C-0000-FFFF-FFFF1F010000}" r="R135" connectionId="0">
    <xmlCellPr id="1" xr6:uid="{00000000-0010-0000-1F01-000001000000}" uniqueName="1">
      <xmlPr mapId="43" xpath="/ns1:Root/ns1:Prog/ns1:Achieved__P11_6" xmlDataType="string"/>
    </xmlCellPr>
  </singleXmlCell>
  <singleXmlCell id="709" xr6:uid="{00000000-000C-0000-FFFF-FFFF20010000}" r="S135" connectionId="0">
    <xmlCellPr id="1" xr6:uid="{00000000-0010-0000-2001-000001000000}" uniqueName="1">
      <xmlPr mapId="43" xpath="/ns1:Root/ns1:Prog/ns1:Achieved__P12_6" xmlDataType="string"/>
    </xmlCellPr>
  </singleXmlCell>
  <singleXmlCell id="710" xr6:uid="{00000000-000C-0000-FFFF-FFFF21010000}" r="H130" connectionId="0">
    <xmlCellPr id="1" xr6:uid="{00000000-0010-0000-2101-000001000000}" uniqueName="1">
      <xmlPr mapId="43" xpath="/ns1:Root/ns1:Prog/ns1:Target_P1_7" xmlDataType="double"/>
    </xmlCellPr>
  </singleXmlCell>
  <singleXmlCell id="711" xr6:uid="{00000000-000C-0000-FFFF-FFFF22010000}" r="I130" connectionId="0">
    <xmlCellPr id="1" xr6:uid="{00000000-0010-0000-2201-000001000000}" uniqueName="1">
      <xmlPr mapId="43" xpath="/ns1:Root/ns1:Prog/ns1:Target_P2_7" xmlDataType="double"/>
    </xmlCellPr>
  </singleXmlCell>
  <singleXmlCell id="712" xr6:uid="{00000000-000C-0000-FFFF-FFFF23010000}" r="J130" connectionId="0">
    <xmlCellPr id="1" xr6:uid="{00000000-0010-0000-2301-000001000000}" uniqueName="1">
      <xmlPr mapId="43" xpath="/ns1:Root/ns1:Prog/ns1:Target_P3_7" xmlDataType="double"/>
    </xmlCellPr>
  </singleXmlCell>
  <singleXmlCell id="713" xr6:uid="{00000000-000C-0000-FFFF-FFFF24010000}" r="K130" connectionId="0">
    <xmlCellPr id="1" xr6:uid="{00000000-0010-0000-2401-000001000000}" uniqueName="1">
      <xmlPr mapId="43" xpath="/ns1:Root/ns1:Prog/ns1:Target_P4_7" xmlDataType="double"/>
    </xmlCellPr>
  </singleXmlCell>
  <singleXmlCell id="714" xr6:uid="{00000000-000C-0000-FFFF-FFFF25010000}" r="L130" connectionId="0">
    <xmlCellPr id="1" xr6:uid="{00000000-0010-0000-2501-000001000000}" uniqueName="1">
      <xmlPr mapId="43" xpath="/ns1:Root/ns1:Prog/ns1:Target_P5_7" xmlDataType="double"/>
    </xmlCellPr>
  </singleXmlCell>
  <singleXmlCell id="715" xr6:uid="{00000000-000C-0000-FFFF-FFFF26010000}" r="M130" connectionId="0">
    <xmlCellPr id="1" xr6:uid="{00000000-0010-0000-2601-000001000000}" uniqueName="1">
      <xmlPr mapId="43" xpath="/ns1:Root/ns1:Prog/ns1:Target_P6_7" xmlDataType="double"/>
    </xmlCellPr>
  </singleXmlCell>
  <singleXmlCell id="716" xr6:uid="{00000000-000C-0000-FFFF-FFFF27010000}" r="N130" connectionId="0">
    <xmlCellPr id="1" xr6:uid="{00000000-0010-0000-2701-000001000000}" uniqueName="1">
      <xmlPr mapId="43" xpath="/ns1:Root/ns1:Prog/ns1:Target_P7_7" xmlDataType="double"/>
    </xmlCellPr>
  </singleXmlCell>
  <singleXmlCell id="717" xr6:uid="{00000000-000C-0000-FFFF-FFFF28010000}" r="O130" connectionId="0">
    <xmlCellPr id="1" xr6:uid="{00000000-0010-0000-2801-000001000000}" uniqueName="1">
      <xmlPr mapId="43" xpath="/ns1:Root/ns1:Prog/ns1:Target_P8_7" xmlDataType="double"/>
    </xmlCellPr>
  </singleXmlCell>
  <singleXmlCell id="718" xr6:uid="{00000000-000C-0000-FFFF-FFFF29010000}" r="P130" connectionId="0">
    <xmlCellPr id="1" xr6:uid="{00000000-0010-0000-2901-000001000000}" uniqueName="1">
      <xmlPr mapId="43" xpath="/ns1:Root/ns1:Prog/ns1:Target_P9_7" xmlDataType="double"/>
    </xmlCellPr>
  </singleXmlCell>
  <singleXmlCell id="719" xr6:uid="{00000000-000C-0000-FFFF-FFFF2A010000}" r="Q130" connectionId="0">
    <xmlCellPr id="1" xr6:uid="{00000000-0010-0000-2A01-000001000000}" uniqueName="1">
      <xmlPr mapId="43" xpath="/ns1:Root/ns1:Prog/ns1:Target_P10_7" xmlDataType="double"/>
    </xmlCellPr>
  </singleXmlCell>
  <singleXmlCell id="720" xr6:uid="{00000000-000C-0000-FFFF-FFFF2B010000}" r="R130" connectionId="0">
    <xmlCellPr id="1" xr6:uid="{00000000-0010-0000-2B01-000001000000}" uniqueName="1">
      <xmlPr mapId="43" xpath="/ns1:Root/ns1:Prog/ns1:Target_P11_7" xmlDataType="double"/>
    </xmlCellPr>
  </singleXmlCell>
  <singleXmlCell id="721" xr6:uid="{00000000-000C-0000-FFFF-FFFF2C010000}" r="S130" connectionId="0">
    <xmlCellPr id="1" xr6:uid="{00000000-0010-0000-2C01-000001000000}" uniqueName="1">
      <xmlPr mapId="43" xpath="/ns1:Root/ns1:Prog/ns1:Target_P12_7" xmlDataType="double"/>
    </xmlCellPr>
  </singleXmlCell>
  <singleXmlCell id="722" xr6:uid="{00000000-000C-0000-FFFF-FFFF2D010000}" r="H131" connectionId="0">
    <xmlCellPr id="1" xr6:uid="{00000000-0010-0000-2D01-000001000000}" uniqueName="1">
      <xmlPr mapId="43" xpath="/ns1:Root/ns1:Prog/ns1:Achieved__P1_7" xmlDataType="double"/>
    </xmlCellPr>
  </singleXmlCell>
  <singleXmlCell id="723" xr6:uid="{00000000-000C-0000-FFFF-FFFF2E010000}" r="I131" connectionId="0">
    <xmlCellPr id="1" xr6:uid="{00000000-0010-0000-2E01-000001000000}" uniqueName="1">
      <xmlPr mapId="43" xpath="/ns1:Root/ns1:Prog/ns1:Achieved__P2_7" xmlDataType="double"/>
    </xmlCellPr>
  </singleXmlCell>
  <singleXmlCell id="724" xr6:uid="{00000000-000C-0000-FFFF-FFFF2F010000}" r="J131" connectionId="0">
    <xmlCellPr id="1" xr6:uid="{00000000-0010-0000-2F01-000001000000}" uniqueName="1">
      <xmlPr mapId="43" xpath="/ns1:Root/ns1:Prog/ns1:Achieved__P3_7" xmlDataType="double"/>
    </xmlCellPr>
  </singleXmlCell>
  <singleXmlCell id="725" xr6:uid="{00000000-000C-0000-FFFF-FFFF30010000}" r="K131" connectionId="0">
    <xmlCellPr id="1" xr6:uid="{00000000-0010-0000-3001-000001000000}" uniqueName="1">
      <xmlPr mapId="43" xpath="/ns1:Root/ns1:Prog/ns1:Achieved__P4_7" xmlDataType="double"/>
    </xmlCellPr>
  </singleXmlCell>
  <singleXmlCell id="726" xr6:uid="{00000000-000C-0000-FFFF-FFFF31010000}" r="L131" connectionId="0">
    <xmlCellPr id="1" xr6:uid="{00000000-0010-0000-3101-000001000000}" uniqueName="1">
      <xmlPr mapId="43" xpath="/ns1:Root/ns1:Prog/ns1:Achieved__P5_7" xmlDataType="string"/>
    </xmlCellPr>
  </singleXmlCell>
  <singleXmlCell id="727" xr6:uid="{00000000-000C-0000-FFFF-FFFF32010000}" r="M131" connectionId="0">
    <xmlCellPr id="1" xr6:uid="{00000000-0010-0000-3201-000001000000}" uniqueName="1">
      <xmlPr mapId="43" xpath="/ns1:Root/ns1:Prog/ns1:Achieved__P6_7" xmlDataType="string"/>
    </xmlCellPr>
  </singleXmlCell>
  <singleXmlCell id="728" xr6:uid="{00000000-000C-0000-FFFF-FFFF33010000}" r="N131" connectionId="0">
    <xmlCellPr id="1" xr6:uid="{00000000-0010-0000-3301-000001000000}" uniqueName="1">
      <xmlPr mapId="43" xpath="/ns1:Root/ns1:Prog/ns1:Achieved__P7_7" xmlDataType="string"/>
    </xmlCellPr>
  </singleXmlCell>
  <singleXmlCell id="729" xr6:uid="{00000000-000C-0000-FFFF-FFFF34010000}" r="O131" connectionId="0">
    <xmlCellPr id="1" xr6:uid="{00000000-0010-0000-3401-000001000000}" uniqueName="1">
      <xmlPr mapId="43" xpath="/ns1:Root/ns1:Prog/ns1:Achieved__P8_7" xmlDataType="string"/>
    </xmlCellPr>
  </singleXmlCell>
  <singleXmlCell id="730" xr6:uid="{00000000-000C-0000-FFFF-FFFF35010000}" r="P131" connectionId="0">
    <xmlCellPr id="1" xr6:uid="{00000000-0010-0000-3501-000001000000}" uniqueName="1">
      <xmlPr mapId="43" xpath="/ns1:Root/ns1:Prog/ns1:Achieved__P9_7" xmlDataType="string"/>
    </xmlCellPr>
  </singleXmlCell>
  <singleXmlCell id="731" xr6:uid="{00000000-000C-0000-FFFF-FFFF36010000}" r="Q131" connectionId="0">
    <xmlCellPr id="1" xr6:uid="{00000000-0010-0000-3601-000001000000}" uniqueName="1">
      <xmlPr mapId="43" xpath="/ns1:Root/ns1:Prog/ns1:Achieved__P10_7" xmlDataType="string"/>
    </xmlCellPr>
  </singleXmlCell>
  <singleXmlCell id="732" xr6:uid="{00000000-000C-0000-FFFF-FFFF37010000}" r="R131" connectionId="0">
    <xmlCellPr id="1" xr6:uid="{00000000-0010-0000-3701-000001000000}" uniqueName="1">
      <xmlPr mapId="43" xpath="/ns1:Root/ns1:Prog/ns1:Achieved__P11_7" xmlDataType="string"/>
    </xmlCellPr>
  </singleXmlCell>
  <singleXmlCell id="733" xr6:uid="{00000000-000C-0000-FFFF-FFFF38010000}" r="S131" connectionId="0">
    <xmlCellPr id="1" xr6:uid="{00000000-0010-0000-3801-000001000000}" uniqueName="1">
      <xmlPr mapId="43" xpath="/ns1:Root/ns1:Prog/ns1:Achieved__P12_7" xmlDataType="string"/>
    </xmlCellPr>
  </singleXmlCell>
  <singleXmlCell id="758" xr6:uid="{00000000-000C-0000-FFFF-FFFF39010000}" r="H136" connectionId="0">
    <xmlCellPr id="1" xr6:uid="{00000000-0010-0000-3901-000001000000}" uniqueName="1">
      <xmlPr mapId="43" xpath="/ns1:Root/ns1:Prog/ns1:Target_P1_9" xmlDataType="double"/>
    </xmlCellPr>
  </singleXmlCell>
  <singleXmlCell id="759" xr6:uid="{00000000-000C-0000-FFFF-FFFF3A010000}" r="I136" connectionId="0">
    <xmlCellPr id="1" xr6:uid="{00000000-0010-0000-3A01-000001000000}" uniqueName="1">
      <xmlPr mapId="43" xpath="/ns1:Root/ns1:Prog/ns1:Target_P2_9" xmlDataType="double"/>
    </xmlCellPr>
  </singleXmlCell>
  <singleXmlCell id="760" xr6:uid="{00000000-000C-0000-FFFF-FFFF3B010000}" r="J136" connectionId="0">
    <xmlCellPr id="1" xr6:uid="{00000000-0010-0000-3B01-000001000000}" uniqueName="1">
      <xmlPr mapId="43" xpath="/ns1:Root/ns1:Prog/ns1:Target_P3_9" xmlDataType="double"/>
    </xmlCellPr>
  </singleXmlCell>
  <singleXmlCell id="761" xr6:uid="{00000000-000C-0000-FFFF-FFFF3C010000}" r="K136" connectionId="0">
    <xmlCellPr id="1" xr6:uid="{00000000-0010-0000-3C01-000001000000}" uniqueName="1">
      <xmlPr mapId="43" xpath="/ns1:Root/ns1:Prog/ns1:Target_P4_9" xmlDataType="double"/>
    </xmlCellPr>
  </singleXmlCell>
  <singleXmlCell id="762" xr6:uid="{00000000-000C-0000-FFFF-FFFF3D010000}" r="L136" connectionId="0">
    <xmlCellPr id="1" xr6:uid="{00000000-0010-0000-3D01-000001000000}" uniqueName="1">
      <xmlPr mapId="43" xpath="/ns1:Root/ns1:Prog/ns1:Target_P5_9" xmlDataType="double"/>
    </xmlCellPr>
  </singleXmlCell>
  <singleXmlCell id="763" xr6:uid="{00000000-000C-0000-FFFF-FFFF3E010000}" r="M136" connectionId="0">
    <xmlCellPr id="1" xr6:uid="{00000000-0010-0000-3E01-000001000000}" uniqueName="1">
      <xmlPr mapId="43" xpath="/ns1:Root/ns1:Prog/ns1:Target_P6_9" xmlDataType="double"/>
    </xmlCellPr>
  </singleXmlCell>
  <singleXmlCell id="764" xr6:uid="{00000000-000C-0000-FFFF-FFFF3F010000}" r="N136" connectionId="0">
    <xmlCellPr id="1" xr6:uid="{00000000-0010-0000-3F01-000001000000}" uniqueName="1">
      <xmlPr mapId="43" xpath="/ns1:Root/ns1:Prog/ns1:Target_P7_9" xmlDataType="double"/>
    </xmlCellPr>
  </singleXmlCell>
  <singleXmlCell id="765" xr6:uid="{00000000-000C-0000-FFFF-FFFF40010000}" r="O136" connectionId="0">
    <xmlCellPr id="1" xr6:uid="{00000000-0010-0000-4001-000001000000}" uniqueName="1">
      <xmlPr mapId="43" xpath="/ns1:Root/ns1:Prog/ns1:Target_P8_9" xmlDataType="double"/>
    </xmlCellPr>
  </singleXmlCell>
  <singleXmlCell id="766" xr6:uid="{00000000-000C-0000-FFFF-FFFF41010000}" r="P136" connectionId="0">
    <xmlCellPr id="1" xr6:uid="{00000000-0010-0000-4101-000001000000}" uniqueName="1">
      <xmlPr mapId="43" xpath="/ns1:Root/ns1:Prog/ns1:Target_P9_9" xmlDataType="double"/>
    </xmlCellPr>
  </singleXmlCell>
  <singleXmlCell id="767" xr6:uid="{00000000-000C-0000-FFFF-FFFF42010000}" r="Q136" connectionId="0">
    <xmlCellPr id="1" xr6:uid="{00000000-0010-0000-4201-000001000000}" uniqueName="1">
      <xmlPr mapId="43" xpath="/ns1:Root/ns1:Prog/ns1:Target_P10_9" xmlDataType="double"/>
    </xmlCellPr>
  </singleXmlCell>
  <singleXmlCell id="768" xr6:uid="{00000000-000C-0000-FFFF-FFFF43010000}" r="R136" connectionId="0">
    <xmlCellPr id="1" xr6:uid="{00000000-0010-0000-4301-000001000000}" uniqueName="1">
      <xmlPr mapId="43" xpath="/ns1:Root/ns1:Prog/ns1:Target_P11_9" xmlDataType="double"/>
    </xmlCellPr>
  </singleXmlCell>
  <singleXmlCell id="769" xr6:uid="{00000000-000C-0000-FFFF-FFFF44010000}" r="S136" connectionId="0">
    <xmlCellPr id="1" xr6:uid="{00000000-0010-0000-4401-000001000000}" uniqueName="1">
      <xmlPr mapId="43" xpath="/ns1:Root/ns1:Prog/ns1:Target_P12_9" xmlDataType="double"/>
    </xmlCellPr>
  </singleXmlCell>
  <singleXmlCell id="770" xr6:uid="{00000000-000C-0000-FFFF-FFFF45010000}" r="H137" connectionId="0">
    <xmlCellPr id="1" xr6:uid="{00000000-0010-0000-4501-000001000000}" uniqueName="1">
      <xmlPr mapId="43" xpath="/ns1:Root/ns1:Prog/ns1:Achieved__P1_9" xmlDataType="string"/>
    </xmlCellPr>
  </singleXmlCell>
  <singleXmlCell id="771" xr6:uid="{00000000-000C-0000-FFFF-FFFF46010000}" r="I137" connectionId="0">
    <xmlCellPr id="1" xr6:uid="{00000000-0010-0000-4601-000001000000}" uniqueName="1">
      <xmlPr mapId="43" xpath="/ns1:Root/ns1:Prog/ns1:Achieved__P2_9" xmlDataType="double"/>
    </xmlCellPr>
  </singleXmlCell>
  <singleXmlCell id="772" xr6:uid="{00000000-000C-0000-FFFF-FFFF47010000}" r="J137" connectionId="0">
    <xmlCellPr id="1" xr6:uid="{00000000-0010-0000-4701-000001000000}" uniqueName="1">
      <xmlPr mapId="43" xpath="/ns1:Root/ns1:Prog/ns1:Achieved__P3_9" xmlDataType="string"/>
    </xmlCellPr>
  </singleXmlCell>
  <singleXmlCell id="773" xr6:uid="{00000000-000C-0000-FFFF-FFFF48010000}" r="K137" connectionId="0">
    <xmlCellPr id="1" xr6:uid="{00000000-0010-0000-4801-000001000000}" uniqueName="1">
      <xmlPr mapId="43" xpath="/ns1:Root/ns1:Prog/ns1:Achieved__P4_9" xmlDataType="double"/>
    </xmlCellPr>
  </singleXmlCell>
  <singleXmlCell id="774" xr6:uid="{00000000-000C-0000-FFFF-FFFF49010000}" r="L137" connectionId="0">
    <xmlCellPr id="1" xr6:uid="{00000000-0010-0000-4901-000001000000}" uniqueName="1">
      <xmlPr mapId="43" xpath="/ns1:Root/ns1:Prog/ns1:Achieved__P5_9" xmlDataType="string"/>
    </xmlCellPr>
  </singleXmlCell>
  <singleXmlCell id="775" xr6:uid="{00000000-000C-0000-FFFF-FFFF4A010000}" r="M137" connectionId="0">
    <xmlCellPr id="1" xr6:uid="{00000000-0010-0000-4A01-000001000000}" uniqueName="1">
      <xmlPr mapId="43" xpath="/ns1:Root/ns1:Prog/ns1:Achieved__P6_9" xmlDataType="string"/>
    </xmlCellPr>
  </singleXmlCell>
  <singleXmlCell id="776" xr6:uid="{00000000-000C-0000-FFFF-FFFF4B010000}" r="N137" connectionId="0">
    <xmlCellPr id="1" xr6:uid="{00000000-0010-0000-4B01-000001000000}" uniqueName="1">
      <xmlPr mapId="43" xpath="/ns1:Root/ns1:Prog/ns1:Achieved__P7_9" xmlDataType="string"/>
    </xmlCellPr>
  </singleXmlCell>
  <singleXmlCell id="777" xr6:uid="{00000000-000C-0000-FFFF-FFFF4C010000}" r="O137" connectionId="0">
    <xmlCellPr id="1" xr6:uid="{00000000-0010-0000-4C01-000001000000}" uniqueName="1">
      <xmlPr mapId="43" xpath="/ns1:Root/ns1:Prog/ns1:Achieved__P8_9" xmlDataType="string"/>
    </xmlCellPr>
  </singleXmlCell>
  <singleXmlCell id="778" xr6:uid="{00000000-000C-0000-FFFF-FFFF4D010000}" r="P137" connectionId="0">
    <xmlCellPr id="1" xr6:uid="{00000000-0010-0000-4D01-000001000000}" uniqueName="1">
      <xmlPr mapId="43" xpath="/ns1:Root/ns1:Prog/ns1:Achieved__P9_9" xmlDataType="string"/>
    </xmlCellPr>
  </singleXmlCell>
  <singleXmlCell id="779" xr6:uid="{00000000-000C-0000-FFFF-FFFF4E010000}" r="Q137" connectionId="0">
    <xmlCellPr id="1" xr6:uid="{00000000-0010-0000-4E01-000001000000}" uniqueName="1">
      <xmlPr mapId="43" xpath="/ns1:Root/ns1:Prog/ns1:Achieved__P10_9" xmlDataType="string"/>
    </xmlCellPr>
  </singleXmlCell>
  <singleXmlCell id="780" xr6:uid="{00000000-000C-0000-FFFF-FFFF4F010000}" r="R137" connectionId="0">
    <xmlCellPr id="1" xr6:uid="{00000000-0010-0000-4F01-000001000000}" uniqueName="1">
      <xmlPr mapId="43" xpath="/ns1:Root/ns1:Prog/ns1:Achieved__P11_9" xmlDataType="string"/>
    </xmlCellPr>
  </singleXmlCell>
  <singleXmlCell id="781" xr6:uid="{00000000-000C-0000-FFFF-FFFF50010000}" r="S137" connectionId="0">
    <xmlCellPr id="1" xr6:uid="{00000000-0010-0000-5001-000001000000}" uniqueName="1">
      <xmlPr mapId="43" xpath="/ns1:Root/ns1:Prog/ns1:Achieved__P12_9" xmlDataType="string"/>
    </xmlCellPr>
  </singleXmlCell>
  <singleXmlCell id="782" xr6:uid="{00000000-000C-0000-FFFF-FFFF51010000}" r="H138" connectionId="0">
    <xmlCellPr id="1" xr6:uid="{00000000-0010-0000-5101-000001000000}" uniqueName="1">
      <xmlPr mapId="43" xpath="/ns1:Root/ns1:Prog/ns1:Target_P1" xmlDataType="string"/>
    </xmlCellPr>
  </singleXmlCell>
  <singleXmlCell id="783" xr6:uid="{00000000-000C-0000-FFFF-FFFF52010000}" r="I138" connectionId="0">
    <xmlCellPr id="1" xr6:uid="{00000000-0010-0000-5201-000001000000}" uniqueName="1">
      <xmlPr mapId="43" xpath="/ns1:Root/ns1:Prog/ns1:Target_P2" xmlDataType="string"/>
    </xmlCellPr>
  </singleXmlCell>
  <singleXmlCell id="784" xr6:uid="{00000000-000C-0000-FFFF-FFFF53010000}" r="J138" connectionId="0">
    <xmlCellPr id="1" xr6:uid="{00000000-0010-0000-5301-000001000000}" uniqueName="1">
      <xmlPr mapId="43" xpath="/ns1:Root/ns1:Prog/ns1:Target_P3" xmlDataType="string"/>
    </xmlCellPr>
  </singleXmlCell>
  <singleXmlCell id="785" xr6:uid="{00000000-000C-0000-FFFF-FFFF54010000}" r="K138" connectionId="0">
    <xmlCellPr id="1" xr6:uid="{00000000-0010-0000-5401-000001000000}" uniqueName="1">
      <xmlPr mapId="43" xpath="/ns1:Root/ns1:Prog/ns1:Target_P4" xmlDataType="double"/>
    </xmlCellPr>
  </singleXmlCell>
  <singleXmlCell id="786" xr6:uid="{00000000-000C-0000-FFFF-FFFF55010000}" r="L138" connectionId="0">
    <xmlCellPr id="1" xr6:uid="{00000000-0010-0000-5501-000001000000}" uniqueName="1">
      <xmlPr mapId="43" xpath="/ns1:Root/ns1:Prog/ns1:Target_P5" xmlDataType="string"/>
    </xmlCellPr>
  </singleXmlCell>
  <singleXmlCell id="787" xr6:uid="{00000000-000C-0000-FFFF-FFFF56010000}" r="M138" connectionId="0">
    <xmlCellPr id="1" xr6:uid="{00000000-0010-0000-5601-000001000000}" uniqueName="1">
      <xmlPr mapId="43" xpath="/ns1:Root/ns1:Prog/ns1:Target_P6" xmlDataType="string"/>
    </xmlCellPr>
  </singleXmlCell>
  <singleXmlCell id="788" xr6:uid="{00000000-000C-0000-FFFF-FFFF57010000}" r="N138" connectionId="0">
    <xmlCellPr id="1" xr6:uid="{00000000-0010-0000-5701-000001000000}" uniqueName="1">
      <xmlPr mapId="43" xpath="/ns1:Root/ns1:Prog/ns1:Target_P7" xmlDataType="string"/>
    </xmlCellPr>
  </singleXmlCell>
  <singleXmlCell id="789" xr6:uid="{00000000-000C-0000-FFFF-FFFF58010000}" r="O138" connectionId="0">
    <xmlCellPr id="1" xr6:uid="{00000000-0010-0000-5801-000001000000}" uniqueName="1">
      <xmlPr mapId="43" xpath="/ns1:Root/ns1:Prog/ns1:Target_P8" xmlDataType="string"/>
    </xmlCellPr>
  </singleXmlCell>
  <singleXmlCell id="790" xr6:uid="{00000000-000C-0000-FFFF-FFFF59010000}" r="P138" connectionId="0">
    <xmlCellPr id="1" xr6:uid="{00000000-0010-0000-5901-000001000000}" uniqueName="1">
      <xmlPr mapId="43" xpath="/ns1:Root/ns1:Prog/ns1:Target_P9" xmlDataType="string"/>
    </xmlCellPr>
  </singleXmlCell>
  <singleXmlCell id="791" xr6:uid="{00000000-000C-0000-FFFF-FFFF5A010000}" r="Q138" connectionId="0">
    <xmlCellPr id="1" xr6:uid="{00000000-0010-0000-5A01-000001000000}" uniqueName="1">
      <xmlPr mapId="43" xpath="/ns1:Root/ns1:Prog/ns1:Target_P10" xmlDataType="string"/>
    </xmlCellPr>
  </singleXmlCell>
  <singleXmlCell id="792" xr6:uid="{00000000-000C-0000-FFFF-FFFF5B010000}" r="R138" connectionId="0">
    <xmlCellPr id="1" xr6:uid="{00000000-0010-0000-5B01-000001000000}" uniqueName="1">
      <xmlPr mapId="43" xpath="/ns1:Root/ns1:Prog/ns1:Target_P11" xmlDataType="string"/>
    </xmlCellPr>
  </singleXmlCell>
  <singleXmlCell id="793" xr6:uid="{00000000-000C-0000-FFFF-FFFF5C010000}" r="S138" connectionId="0">
    <xmlCellPr id="1" xr6:uid="{00000000-0010-0000-5C01-000001000000}" uniqueName="1">
      <xmlPr mapId="43" xpath="/ns1:Root/ns1:Prog/ns1:Target_P12" xmlDataType="string"/>
    </xmlCellPr>
  </singleXmlCell>
  <singleXmlCell id="794" xr6:uid="{00000000-000C-0000-FFFF-FFFF5D010000}" r="H139" connectionId="0">
    <xmlCellPr id="1" xr6:uid="{00000000-0010-0000-5D01-000001000000}" uniqueName="1">
      <xmlPr mapId="43" xpath="/ns1:Root/ns1:Prog/ns1:Achieved__P1" xmlDataType="string"/>
    </xmlCellPr>
  </singleXmlCell>
  <singleXmlCell id="795" xr6:uid="{00000000-000C-0000-FFFF-FFFF5E010000}" r="I139" connectionId="0">
    <xmlCellPr id="1" xr6:uid="{00000000-0010-0000-5E01-000001000000}" uniqueName="1">
      <xmlPr mapId="43" xpath="/ns1:Root/ns1:Prog/ns1:Achieved__P2" xmlDataType="string"/>
    </xmlCellPr>
  </singleXmlCell>
  <singleXmlCell id="796" xr6:uid="{00000000-000C-0000-FFFF-FFFF5F010000}" r="J139" connectionId="0">
    <xmlCellPr id="1" xr6:uid="{00000000-0010-0000-5F01-000001000000}" uniqueName="1">
      <xmlPr mapId="43" xpath="/ns1:Root/ns1:Prog/ns1:Achieved__P3" xmlDataType="string"/>
    </xmlCellPr>
  </singleXmlCell>
  <singleXmlCell id="797" xr6:uid="{00000000-000C-0000-FFFF-FFFF60010000}" r="K139" connectionId="0">
    <xmlCellPr id="1" xr6:uid="{00000000-0010-0000-6001-000001000000}" uniqueName="1">
      <xmlPr mapId="43" xpath="/ns1:Root/ns1:Prog/ns1:Achieved__P4" xmlDataType="string"/>
    </xmlCellPr>
  </singleXmlCell>
  <singleXmlCell id="798" xr6:uid="{00000000-000C-0000-FFFF-FFFF61010000}" r="L139" connectionId="0">
    <xmlCellPr id="1" xr6:uid="{00000000-0010-0000-6101-000001000000}" uniqueName="1">
      <xmlPr mapId="43" xpath="/ns1:Root/ns1:Prog/ns1:Achieved__P5" xmlDataType="string"/>
    </xmlCellPr>
  </singleXmlCell>
  <singleXmlCell id="799" xr6:uid="{00000000-000C-0000-FFFF-FFFF62010000}" r="M139" connectionId="0">
    <xmlCellPr id="1" xr6:uid="{00000000-0010-0000-6201-000001000000}" uniqueName="1">
      <xmlPr mapId="43" xpath="/ns1:Root/ns1:Prog/ns1:Achieved__P6" xmlDataType="string"/>
    </xmlCellPr>
  </singleXmlCell>
  <singleXmlCell id="800" xr6:uid="{00000000-000C-0000-FFFF-FFFF63010000}" r="N139" connectionId="0">
    <xmlCellPr id="1" xr6:uid="{00000000-0010-0000-6301-000001000000}" uniqueName="1">
      <xmlPr mapId="43" xpath="/ns1:Root/ns1:Prog/ns1:Achieved__P7" xmlDataType="string"/>
    </xmlCellPr>
  </singleXmlCell>
  <singleXmlCell id="801" xr6:uid="{00000000-000C-0000-FFFF-FFFF64010000}" r="O139" connectionId="0">
    <xmlCellPr id="1" xr6:uid="{00000000-0010-0000-6401-000001000000}" uniqueName="1">
      <xmlPr mapId="43" xpath="/ns1:Root/ns1:Prog/ns1:Achieved__P8" xmlDataType="string"/>
    </xmlCellPr>
  </singleXmlCell>
  <singleXmlCell id="802" xr6:uid="{00000000-000C-0000-FFFF-FFFF65010000}" r="P139" connectionId="0">
    <xmlCellPr id="1" xr6:uid="{00000000-0010-0000-6501-000001000000}" uniqueName="1">
      <xmlPr mapId="43" xpath="/ns1:Root/ns1:Prog/ns1:Achieved__P9" xmlDataType="string"/>
    </xmlCellPr>
  </singleXmlCell>
  <singleXmlCell id="803" xr6:uid="{00000000-000C-0000-FFFF-FFFF66010000}" r="Q139" connectionId="0">
    <xmlCellPr id="1" xr6:uid="{00000000-0010-0000-6601-000001000000}" uniqueName="1">
      <xmlPr mapId="43" xpath="/ns1:Root/ns1:Prog/ns1:Achieved__P10" xmlDataType="string"/>
    </xmlCellPr>
  </singleXmlCell>
  <singleXmlCell id="804" xr6:uid="{00000000-000C-0000-FFFF-FFFF67010000}" r="R139" connectionId="0">
    <xmlCellPr id="1" xr6:uid="{00000000-0010-0000-6701-000001000000}" uniqueName="1">
      <xmlPr mapId="43" xpath="/ns1:Root/ns1:Prog/ns1:Achieved__P11" xmlDataType="string"/>
    </xmlCellPr>
  </singleXmlCell>
  <singleXmlCell id="805" xr6:uid="{00000000-000C-0000-FFFF-FFFF68010000}" r="S139" connectionId="0">
    <xmlCellPr id="1" xr6:uid="{00000000-0010-0000-6801-000001000000}" uniqueName="1">
      <xmlPr mapId="43" xpath="/ns1:Root/ns1:Prog/ns1:Achieved__P12" xmlDataType="string"/>
    </xmlCellPr>
  </singleXmlCell>
  <singleXmlCell id="806" xr6:uid="{00000000-000C-0000-FFFF-FFFF69010000}" r="K120" connectionId="0">
    <xmlCellPr id="1" xr6:uid="{00000000-0010-0000-6901-000001000000}" uniqueName="1">
      <xmlPr mapId="43" xpath="/ns1:Root/ns1:Prog/ns1:Target_P4_2" xmlDataType="double"/>
    </xmlCellPr>
  </singleXmlCell>
  <singleXmlCell id="807" xr6:uid="{00000000-000C-0000-FFFF-FFFF6A010000}" r="B118" connectionId="0">
    <xmlCellPr id="1" xr6:uid="{00000000-0010-0000-6A01-000001000000}" uniqueName="1">
      <xmlPr mapId="43" xpath="/ns1:Root/ns1:P1" xmlDataType="string"/>
    </xmlCellPr>
  </singleXmlCell>
  <singleXmlCell id="808" xr6:uid="{00000000-000C-0000-FFFF-FFFF6B010000}" r="E118" connectionId="0">
    <xmlCellPr id="1" xr6:uid="{00000000-0010-0000-6B01-000001000000}" uniqueName="1">
      <xmlPr mapId="43" xpath="/ns1:Root/ns1:P1_Code" xmlDataType="double"/>
    </xmlCellPr>
  </singleXmlCell>
  <singleXmlCell id="809" xr6:uid="{00000000-000C-0000-FFFF-FFFF6C010000}" r="F118" connectionId="0">
    <xmlCellPr id="1" xr6:uid="{00000000-0010-0000-6C01-000001000000}" uniqueName="1">
      <xmlPr mapId="43" xpath="/ns1:Root/ns1:P1_Tied" xmlDataType="string"/>
    </xmlCellPr>
  </singleXmlCell>
  <singleXmlCell id="810" xr6:uid="{00000000-000C-0000-FFFF-FFFF6D010000}" r="B120" connectionId="0">
    <xmlCellPr id="1" xr6:uid="{00000000-0010-0000-6D01-000001000000}" uniqueName="1">
      <xmlPr mapId="43" xpath="/ns1:Root/ns1:P2" xmlDataType="string"/>
    </xmlCellPr>
  </singleXmlCell>
  <singleXmlCell id="811" xr6:uid="{00000000-000C-0000-FFFF-FFFF6E010000}" r="E120" connectionId="0">
    <xmlCellPr id="1" xr6:uid="{00000000-0010-0000-6E01-000001000000}" uniqueName="1">
      <xmlPr mapId="43" xpath="/ns1:Root/ns1:P2_Code" xmlDataType="double"/>
    </xmlCellPr>
  </singleXmlCell>
  <singleXmlCell id="812" xr6:uid="{00000000-000C-0000-FFFF-FFFF6F010000}" r="F120" connectionId="0">
    <xmlCellPr id="1" xr6:uid="{00000000-0010-0000-6F01-000001000000}" uniqueName="1">
      <xmlPr mapId="43" xpath="/ns1:Root/ns1:P2_Tied" xmlDataType="string"/>
    </xmlCellPr>
  </singleXmlCell>
  <singleXmlCell id="813" xr6:uid="{00000000-000C-0000-FFFF-FFFF70010000}" r="B124" connectionId="0">
    <xmlCellPr id="1" xr6:uid="{00000000-0010-0000-7001-000001000000}" uniqueName="1">
      <xmlPr mapId="43" xpath="/ns1:Root/ns1:P3" xmlDataType="string"/>
    </xmlCellPr>
  </singleXmlCell>
  <singleXmlCell id="814" xr6:uid="{00000000-000C-0000-FFFF-FFFF71010000}" r="E124" connectionId="0">
    <xmlCellPr id="1" xr6:uid="{00000000-0010-0000-7101-000001000000}" uniqueName="1">
      <xmlPr mapId="43" xpath="/ns1:Root/ns1:P3_Code" xmlDataType="double"/>
    </xmlCellPr>
  </singleXmlCell>
  <singleXmlCell id="815" xr6:uid="{00000000-000C-0000-FFFF-FFFF72010000}" r="F124" connectionId="0">
    <xmlCellPr id="1" xr6:uid="{00000000-0010-0000-7201-000001000000}" uniqueName="1">
      <xmlPr mapId="43" xpath="/ns1:Root/ns1:P3_Tied" xmlDataType="string"/>
    </xmlCellPr>
  </singleXmlCell>
  <singleXmlCell id="816" xr6:uid="{00000000-000C-0000-FFFF-FFFF73010000}" r="B128" connectionId="0">
    <xmlCellPr id="1" xr6:uid="{00000000-0010-0000-7301-000001000000}" uniqueName="1">
      <xmlPr mapId="43" xpath="/ns1:Root/ns1:P4" xmlDataType="string"/>
    </xmlCellPr>
  </singleXmlCell>
  <singleXmlCell id="817" xr6:uid="{00000000-000C-0000-FFFF-FFFF74010000}" r="E128" connectionId="0">
    <xmlCellPr id="1" xr6:uid="{00000000-0010-0000-7401-000001000000}" uniqueName="1">
      <xmlPr mapId="43" xpath="/ns1:Root/ns1:P4_Code" xmlDataType="double"/>
    </xmlCellPr>
  </singleXmlCell>
  <singleXmlCell id="818" xr6:uid="{00000000-000C-0000-FFFF-FFFF75010000}" r="F128" connectionId="0">
    <xmlCellPr id="1" xr6:uid="{00000000-0010-0000-7501-000001000000}" uniqueName="1">
      <xmlPr mapId="43" xpath="/ns1:Root/ns1:P4_Tied" xmlDataType="string"/>
    </xmlCellPr>
  </singleXmlCell>
  <singleXmlCell id="819" xr6:uid="{00000000-000C-0000-FFFF-FFFF76010000}" r="B132" connectionId="0">
    <xmlCellPr id="1" xr6:uid="{00000000-0010-0000-7601-000001000000}" uniqueName="1">
      <xmlPr mapId="43" xpath="/ns1:Root/ns1:P5" xmlDataType="string"/>
    </xmlCellPr>
  </singleXmlCell>
  <singleXmlCell id="820" xr6:uid="{00000000-000C-0000-FFFF-FFFF77010000}" r="E132" connectionId="0">
    <xmlCellPr id="1" xr6:uid="{00000000-0010-0000-7701-000001000000}" uniqueName="1">
      <xmlPr mapId="43" xpath="/ns1:Root/ns1:P5_Code" xmlDataType="double"/>
    </xmlCellPr>
  </singleXmlCell>
  <singleXmlCell id="821" xr6:uid="{00000000-000C-0000-FFFF-FFFF78010000}" r="F132" connectionId="0">
    <xmlCellPr id="1" xr6:uid="{00000000-0010-0000-7801-000001000000}" uniqueName="1">
      <xmlPr mapId="43" xpath="/ns1:Root/ns1:P5_Tied" xmlDataType="string"/>
    </xmlCellPr>
  </singleXmlCell>
  <singleXmlCell id="822" xr6:uid="{00000000-000C-0000-FFFF-FFFF79010000}" r="B134" connectionId="0">
    <xmlCellPr id="1" xr6:uid="{00000000-0010-0000-7901-000001000000}" uniqueName="1">
      <xmlPr mapId="43" xpath="/ns1:Root/ns1:P6" xmlDataType="string"/>
    </xmlCellPr>
  </singleXmlCell>
  <singleXmlCell id="823" xr6:uid="{00000000-000C-0000-FFFF-FFFF7A010000}" r="E134" connectionId="0">
    <xmlCellPr id="1" xr6:uid="{00000000-0010-0000-7A01-000001000000}" uniqueName="1">
      <xmlPr mapId="43" xpath="/ns1:Root/ns1:P6_Code" xmlDataType="double"/>
    </xmlCellPr>
  </singleXmlCell>
  <singleXmlCell id="824" xr6:uid="{00000000-000C-0000-FFFF-FFFF7B010000}" r="F134" connectionId="0">
    <xmlCellPr id="1" xr6:uid="{00000000-0010-0000-7B01-000001000000}" uniqueName="1">
      <xmlPr mapId="43" xpath="/ns1:Root/ns1:P6_Tied" xmlDataType="string"/>
    </xmlCellPr>
  </singleXmlCell>
  <singleXmlCell id="825" xr6:uid="{00000000-000C-0000-FFFF-FFFF7C010000}" r="B130" connectionId="0">
    <xmlCellPr id="1" xr6:uid="{00000000-0010-0000-7C01-000001000000}" uniqueName="1">
      <xmlPr mapId="43" xpath="/ns1:Root/ns1:P7" xmlDataType="string"/>
    </xmlCellPr>
  </singleXmlCell>
  <singleXmlCell id="826" xr6:uid="{00000000-000C-0000-FFFF-FFFF7D010000}" r="E130" connectionId="0">
    <xmlCellPr id="1" xr6:uid="{00000000-0010-0000-7D01-000001000000}" uniqueName="1">
      <xmlPr mapId="43" xpath="/ns1:Root/ns1:P7_Code" xmlDataType="double"/>
    </xmlCellPr>
  </singleXmlCell>
  <singleXmlCell id="827" xr6:uid="{00000000-000C-0000-FFFF-FFFF7E010000}" r="F130" connectionId="0">
    <xmlCellPr id="1" xr6:uid="{00000000-0010-0000-7E01-000001000000}" uniqueName="1">
      <xmlPr mapId="43" xpath="/ns1:Root/ns1:P7_Tied" xmlDataType="string"/>
    </xmlCellPr>
  </singleXmlCell>
  <singleXmlCell id="831" xr6:uid="{00000000-000C-0000-FFFF-FFFF7F010000}" r="B136" connectionId="0">
    <xmlCellPr id="1" xr6:uid="{00000000-0010-0000-7F01-000001000000}" uniqueName="1">
      <xmlPr mapId="43" xpath="/ns1:Root/ns1:P9" xmlDataType="string"/>
    </xmlCellPr>
  </singleXmlCell>
  <singleXmlCell id="832" xr6:uid="{00000000-000C-0000-FFFF-FFFF80010000}" r="E136" connectionId="0">
    <xmlCellPr id="1" xr6:uid="{00000000-0010-0000-8001-000001000000}" uniqueName="1">
      <xmlPr mapId="43" xpath="/ns1:Root/ns1:P9_Code" xmlDataType="double"/>
    </xmlCellPr>
  </singleXmlCell>
  <singleXmlCell id="833" xr6:uid="{00000000-000C-0000-FFFF-FFFF81010000}" r="F136" connectionId="0">
    <xmlCellPr id="1" xr6:uid="{00000000-0010-0000-8101-000001000000}" uniqueName="1">
      <xmlPr mapId="43" xpath="/ns1:Root/ns1:P9_Tied" xmlDataType="double"/>
    </xmlCellPr>
  </singleXmlCell>
  <singleXmlCell id="834" xr6:uid="{00000000-000C-0000-FFFF-FFFF82010000}" r="B138" connectionId="0">
    <xmlCellPr id="1" xr6:uid="{00000000-0010-0000-8201-000001000000}" uniqueName="1">
      <xmlPr mapId="43" xpath="/ns1:Root/ns1:P10" xmlDataType="string"/>
    </xmlCellPr>
  </singleXmlCell>
  <singleXmlCell id="835" xr6:uid="{00000000-000C-0000-FFFF-FFFF83010000}" r="E138" connectionId="0">
    <xmlCellPr id="1" xr6:uid="{00000000-0010-0000-8301-000001000000}" uniqueName="1">
      <xmlPr mapId="43" xpath="/ns1:Root/ns1:P10_Code" xmlDataType="double"/>
    </xmlCellPr>
  </singleXmlCell>
  <singleXmlCell id="836" xr6:uid="{00000000-000C-0000-FFFF-FFFF84010000}" r="F138" connectionId="0">
    <xmlCellPr id="1" xr6:uid="{00000000-0010-0000-8401-000001000000}" uniqueName="1">
      <xmlPr mapId="43" xpath="/ns1:Root/ns1:P10_Tied" xmlDataType="string"/>
    </xmlCellPr>
  </singleXmlCell>
  <singleXmlCell id="837" xr6:uid="{00000000-000C-0000-FFFF-FFFF85010000}" r="D26" connectionId="0">
    <xmlCellPr id="1" xr6:uid="{00000000-0010-0000-85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tabSelected="1" zoomScale="120" zoomScaleNormal="100" workbookViewId="0">
      <selection activeCell="H4" sqref="H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4" t="str">
        <f>+'Detalii despre Grant'!B3:J3</f>
        <v>Dashboard:  Moldova - HIV / AIDS</v>
      </c>
      <c r="C2" s="554"/>
      <c r="D2" s="554"/>
      <c r="E2" s="554"/>
      <c r="F2" s="554"/>
      <c r="G2" s="554"/>
      <c r="H2" s="554"/>
      <c r="I2" s="554"/>
      <c r="J2" s="554"/>
      <c r="K2" s="554"/>
      <c r="L2" s="554"/>
      <c r="M2" s="1"/>
      <c r="N2" s="1"/>
      <c r="O2" s="1"/>
    </row>
    <row r="4" spans="2:15" ht="21">
      <c r="B4" s="555" t="str">
        <f>+IF('Introducerea datelor'!G6="Please Select", "",'Introducerea datelor'!G6) &amp;"  "&amp;+IF('Introducerea datelor'!G8="Please Select", "", 'Introducerea datelor'!G8&amp;",  ")&amp;+IF('Introducerea datelor'!I8="Please Select","",'Introducerea datelor'!I8)</f>
        <v xml:space="preserve">HIV / AIDS  </v>
      </c>
      <c r="C4" s="555"/>
      <c r="D4" s="555"/>
      <c r="E4" s="556"/>
      <c r="F4" s="227"/>
      <c r="G4" s="227"/>
      <c r="H4" s="339" t="str">
        <f>+'Introducerea datelor'!B6&amp;" "&amp;+'Introducerea datelor'!C6</f>
        <v>Nr. Grantului : MDA-H-PCIMU</v>
      </c>
      <c r="I4" s="339"/>
      <c r="J4" s="226"/>
      <c r="K4" s="227"/>
      <c r="L4" s="227"/>
    </row>
    <row r="22" spans="2:12" ht="26.25">
      <c r="B22" s="557" t="s">
        <v>297</v>
      </c>
      <c r="C22" s="558"/>
      <c r="D22" s="558"/>
      <c r="E22" s="558"/>
      <c r="F22" s="558"/>
      <c r="G22" s="558"/>
      <c r="H22" s="558"/>
      <c r="I22" s="558"/>
      <c r="J22" s="558"/>
      <c r="K22" s="558"/>
      <c r="L22" s="558"/>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09" t="str">
        <f>'Detalii despre Grant'!B3:J3</f>
        <v>Dashboard:  Moldova - HIV / AIDS</v>
      </c>
      <c r="C3" s="1009"/>
      <c r="D3" s="1009"/>
      <c r="E3" s="1009"/>
      <c r="F3" s="1009"/>
      <c r="G3" s="1009"/>
      <c r="H3" s="1009"/>
      <c r="I3" s="1"/>
    </row>
    <row r="6" spans="2:15" ht="18.75">
      <c r="B6" s="1010" t="s">
        <v>261</v>
      </c>
      <c r="C6" s="1010"/>
      <c r="D6" s="1010"/>
      <c r="E6" s="1010"/>
      <c r="F6" s="1010"/>
      <c r="G6" s="1010"/>
      <c r="H6" s="1010"/>
    </row>
    <row r="8" spans="2:15" ht="18.75">
      <c r="B8" s="62" t="s">
        <v>17</v>
      </c>
      <c r="C8" s="62" t="s">
        <v>20</v>
      </c>
      <c r="D8" s="62" t="s">
        <v>21</v>
      </c>
      <c r="E8" s="62" t="s">
        <v>26</v>
      </c>
      <c r="F8" s="62" t="s">
        <v>245</v>
      </c>
      <c r="G8" s="62" t="s">
        <v>228</v>
      </c>
      <c r="H8" s="62" t="s">
        <v>247</v>
      </c>
      <c r="I8" s="63" t="s">
        <v>64</v>
      </c>
      <c r="J8" s="63" t="s">
        <v>93</v>
      </c>
      <c r="M8" s="19"/>
      <c r="N8" s="19"/>
      <c r="O8" s="19"/>
    </row>
    <row r="9" spans="2:15">
      <c r="B9" s="86" t="s">
        <v>289</v>
      </c>
      <c r="C9" s="86" t="s">
        <v>289</v>
      </c>
      <c r="D9" s="86" t="s">
        <v>289</v>
      </c>
      <c r="E9" s="86" t="s">
        <v>289</v>
      </c>
      <c r="F9" s="86" t="s">
        <v>289</v>
      </c>
      <c r="G9" s="86" t="s">
        <v>289</v>
      </c>
      <c r="H9" s="86" t="s">
        <v>289</v>
      </c>
      <c r="I9" s="405" t="s">
        <v>289</v>
      </c>
      <c r="J9" s="86" t="s">
        <v>289</v>
      </c>
      <c r="M9" s="19"/>
      <c r="N9" s="19"/>
      <c r="O9" s="19"/>
    </row>
    <row r="10" spans="2:15">
      <c r="B10" s="57" t="s">
        <v>16</v>
      </c>
      <c r="C10" s="57" t="s">
        <v>10</v>
      </c>
      <c r="D10" s="57" t="s">
        <v>8</v>
      </c>
      <c r="E10" s="57" t="s">
        <v>9</v>
      </c>
      <c r="F10" s="57" t="s">
        <v>75</v>
      </c>
      <c r="G10" s="412" t="s">
        <v>28</v>
      </c>
      <c r="H10" s="60" t="s">
        <v>33</v>
      </c>
      <c r="I10" s="27" t="s">
        <v>250</v>
      </c>
      <c r="J10" s="86" t="s">
        <v>94</v>
      </c>
      <c r="M10" s="19"/>
      <c r="N10" s="19"/>
      <c r="O10" s="19"/>
    </row>
    <row r="11" spans="2:15">
      <c r="B11" s="57" t="s">
        <v>18</v>
      </c>
      <c r="C11" s="57" t="s">
        <v>5</v>
      </c>
      <c r="D11" s="57" t="s">
        <v>11</v>
      </c>
      <c r="E11" s="57" t="s">
        <v>7</v>
      </c>
      <c r="F11" s="57" t="s">
        <v>76</v>
      </c>
      <c r="G11" s="412" t="s">
        <v>29</v>
      </c>
      <c r="H11" s="60" t="s">
        <v>34</v>
      </c>
      <c r="I11" s="27" t="s">
        <v>251</v>
      </c>
      <c r="J11" s="86" t="s">
        <v>95</v>
      </c>
      <c r="M11" s="19"/>
      <c r="N11" s="19"/>
      <c r="O11" s="19"/>
    </row>
    <row r="12" spans="2:15">
      <c r="B12" s="57" t="s">
        <v>19</v>
      </c>
      <c r="D12" s="57" t="s">
        <v>13</v>
      </c>
      <c r="E12" s="57" t="s">
        <v>14</v>
      </c>
      <c r="F12" s="57" t="s">
        <v>77</v>
      </c>
      <c r="G12" s="412" t="s">
        <v>30</v>
      </c>
      <c r="H12" s="60" t="s">
        <v>35</v>
      </c>
      <c r="I12" s="27" t="s">
        <v>252</v>
      </c>
      <c r="J12" s="86" t="s">
        <v>96</v>
      </c>
      <c r="M12" s="193"/>
      <c r="N12" s="19"/>
      <c r="O12" s="19"/>
    </row>
    <row r="13" spans="2:15">
      <c r="B13" s="57" t="s">
        <v>60</v>
      </c>
      <c r="D13" s="57" t="s">
        <v>15</v>
      </c>
      <c r="E13" s="58"/>
      <c r="F13" s="57" t="s">
        <v>78</v>
      </c>
      <c r="G13" s="412" t="s">
        <v>31</v>
      </c>
      <c r="H13" s="60" t="s">
        <v>36</v>
      </c>
      <c r="I13" s="27" t="s">
        <v>253</v>
      </c>
      <c r="J13" s="86" t="s">
        <v>97</v>
      </c>
      <c r="M13" s="193"/>
      <c r="N13" s="19"/>
      <c r="O13" s="19"/>
    </row>
    <row r="14" spans="2:15">
      <c r="B14" s="57" t="s">
        <v>61</v>
      </c>
      <c r="D14" s="57" t="s">
        <v>22</v>
      </c>
      <c r="F14" s="57" t="s">
        <v>85</v>
      </c>
      <c r="G14" s="412" t="s">
        <v>32</v>
      </c>
      <c r="H14" s="60" t="s">
        <v>37</v>
      </c>
      <c r="I14" s="27" t="s">
        <v>230</v>
      </c>
      <c r="J14" s="86" t="s">
        <v>98</v>
      </c>
      <c r="M14" s="193"/>
      <c r="N14" s="19"/>
      <c r="O14" s="19"/>
    </row>
    <row r="15" spans="2:15">
      <c r="D15" s="57" t="s">
        <v>23</v>
      </c>
      <c r="F15" s="57" t="s">
        <v>86</v>
      </c>
      <c r="H15" s="60" t="s">
        <v>38</v>
      </c>
      <c r="I15" s="27" t="s">
        <v>49</v>
      </c>
      <c r="J15" s="86" t="s">
        <v>99</v>
      </c>
      <c r="M15" s="193"/>
      <c r="N15" s="19"/>
      <c r="O15" s="19"/>
    </row>
    <row r="16" spans="2:15">
      <c r="D16" s="57" t="s">
        <v>24</v>
      </c>
      <c r="F16" s="57" t="s">
        <v>87</v>
      </c>
      <c r="H16" s="60" t="s">
        <v>39</v>
      </c>
      <c r="I16" s="27" t="s">
        <v>50</v>
      </c>
      <c r="J16" s="86" t="s">
        <v>100</v>
      </c>
      <c r="M16" s="193"/>
      <c r="N16" s="19"/>
      <c r="O16" s="19"/>
    </row>
    <row r="17" spans="4:15">
      <c r="D17" s="57" t="s">
        <v>25</v>
      </c>
      <c r="F17" s="57" t="s">
        <v>88</v>
      </c>
      <c r="H17" s="60" t="s">
        <v>40</v>
      </c>
      <c r="I17" s="27" t="s">
        <v>51</v>
      </c>
      <c r="J17" s="86" t="s">
        <v>101</v>
      </c>
      <c r="M17" s="193"/>
      <c r="N17" s="19"/>
      <c r="O17" s="19"/>
    </row>
    <row r="18" spans="4:15">
      <c r="D18" s="57" t="s">
        <v>6</v>
      </c>
      <c r="F18" s="57" t="s">
        <v>89</v>
      </c>
      <c r="H18" s="60" t="s">
        <v>41</v>
      </c>
      <c r="I18" s="27" t="s">
        <v>52</v>
      </c>
      <c r="J18" s="86" t="s">
        <v>102</v>
      </c>
      <c r="M18" s="193"/>
      <c r="N18" s="19"/>
      <c r="O18" s="19"/>
    </row>
    <row r="19" spans="4:15">
      <c r="D19" s="411" t="s">
        <v>287</v>
      </c>
      <c r="F19" s="57" t="s">
        <v>90</v>
      </c>
      <c r="H19" s="60" t="s">
        <v>42</v>
      </c>
      <c r="I19" s="27" t="s">
        <v>53</v>
      </c>
      <c r="J19" s="86" t="s">
        <v>103</v>
      </c>
      <c r="M19" s="193"/>
      <c r="N19" s="19"/>
      <c r="O19" s="19"/>
    </row>
    <row r="20" spans="4:15">
      <c r="D20" s="59"/>
      <c r="F20" s="57" t="s">
        <v>91</v>
      </c>
      <c r="H20" s="60" t="s">
        <v>226</v>
      </c>
      <c r="I20" s="27" t="s">
        <v>54</v>
      </c>
      <c r="J20" s="86" t="s">
        <v>104</v>
      </c>
      <c r="M20" s="19"/>
      <c r="N20" s="19"/>
      <c r="O20" s="19"/>
    </row>
    <row r="21" spans="4:15">
      <c r="D21" s="61"/>
      <c r="F21" s="57" t="s">
        <v>246</v>
      </c>
      <c r="H21" s="61"/>
      <c r="I21" s="27" t="s">
        <v>56</v>
      </c>
      <c r="J21" s="86" t="s">
        <v>105</v>
      </c>
      <c r="M21" s="19"/>
      <c r="N21" s="19"/>
      <c r="O21" s="19"/>
    </row>
    <row r="22" spans="4:15">
      <c r="H22" s="61"/>
      <c r="I22" s="27" t="s">
        <v>57</v>
      </c>
      <c r="J22" s="86" t="s">
        <v>106</v>
      </c>
      <c r="M22" s="19"/>
      <c r="N22" s="19"/>
      <c r="O22" s="19"/>
    </row>
    <row r="23" spans="4:15">
      <c r="I23" s="27" t="s">
        <v>55</v>
      </c>
      <c r="J23" s="86" t="s">
        <v>107</v>
      </c>
      <c r="M23" s="19"/>
      <c r="N23" s="19"/>
      <c r="O23" s="19"/>
    </row>
    <row r="24" spans="4:15">
      <c r="I24" s="27" t="s">
        <v>256</v>
      </c>
      <c r="J24" s="86" t="s">
        <v>108</v>
      </c>
      <c r="M24" s="19"/>
      <c r="N24" s="19"/>
      <c r="O24" s="19"/>
    </row>
    <row r="25" spans="4:15">
      <c r="I25" s="45"/>
      <c r="J25" s="86" t="s">
        <v>109</v>
      </c>
    </row>
    <row r="26" spans="4:15">
      <c r="I26" s="27" t="s">
        <v>257</v>
      </c>
      <c r="J26" s="86" t="s">
        <v>110</v>
      </c>
    </row>
    <row r="27" spans="4:15">
      <c r="I27" s="27" t="s">
        <v>255</v>
      </c>
      <c r="J27" s="86" t="s">
        <v>111</v>
      </c>
    </row>
    <row r="28" spans="4:15">
      <c r="I28" s="45"/>
      <c r="J28" s="86" t="s">
        <v>112</v>
      </c>
    </row>
    <row r="29" spans="4:15">
      <c r="I29" s="45"/>
      <c r="J29" s="86" t="s">
        <v>113</v>
      </c>
    </row>
    <row r="30" spans="4:15">
      <c r="I30" s="45"/>
      <c r="J30" s="86" t="s">
        <v>114</v>
      </c>
    </row>
    <row r="31" spans="4:15">
      <c r="J31" s="86" t="s">
        <v>115</v>
      </c>
    </row>
    <row r="32" spans="4:15">
      <c r="J32" s="86" t="s">
        <v>116</v>
      </c>
    </row>
    <row r="33" spans="10:10">
      <c r="J33" s="86" t="s">
        <v>117</v>
      </c>
    </row>
    <row r="34" spans="10:10">
      <c r="J34" s="86" t="s">
        <v>118</v>
      </c>
    </row>
    <row r="35" spans="10:10">
      <c r="J35" s="86" t="s">
        <v>119</v>
      </c>
    </row>
    <row r="36" spans="10:10">
      <c r="J36" s="86" t="s">
        <v>119</v>
      </c>
    </row>
    <row r="37" spans="10:10">
      <c r="J37" s="86" t="s">
        <v>120</v>
      </c>
    </row>
    <row r="38" spans="10:10">
      <c r="J38" s="86" t="s">
        <v>121</v>
      </c>
    </row>
    <row r="39" spans="10:10">
      <c r="J39" s="86" t="s">
        <v>122</v>
      </c>
    </row>
    <row r="40" spans="10:10">
      <c r="J40" s="86" t="s">
        <v>123</v>
      </c>
    </row>
    <row r="41" spans="10:10">
      <c r="J41" s="86" t="s">
        <v>124</v>
      </c>
    </row>
    <row r="42" spans="10:10">
      <c r="J42" s="86" t="s">
        <v>125</v>
      </c>
    </row>
    <row r="43" spans="10:10">
      <c r="J43" s="86" t="s">
        <v>126</v>
      </c>
    </row>
    <row r="44" spans="10:10">
      <c r="J44" s="86" t="s">
        <v>127</v>
      </c>
    </row>
    <row r="45" spans="10:10">
      <c r="J45" s="86" t="s">
        <v>128</v>
      </c>
    </row>
    <row r="46" spans="10:10">
      <c r="J46" s="86" t="s">
        <v>129</v>
      </c>
    </row>
    <row r="47" spans="10:10">
      <c r="J47" s="86" t="s">
        <v>130</v>
      </c>
    </row>
    <row r="48" spans="10:10">
      <c r="J48" s="86" t="s">
        <v>131</v>
      </c>
    </row>
    <row r="49" spans="10:10">
      <c r="J49" s="86" t="s">
        <v>132</v>
      </c>
    </row>
    <row r="50" spans="10:10">
      <c r="J50" s="86" t="s">
        <v>133</v>
      </c>
    </row>
    <row r="51" spans="10:10">
      <c r="J51" s="86" t="s">
        <v>134</v>
      </c>
    </row>
    <row r="52" spans="10:10">
      <c r="J52" s="86" t="s">
        <v>135</v>
      </c>
    </row>
    <row r="53" spans="10:10">
      <c r="J53" s="86" t="s">
        <v>136</v>
      </c>
    </row>
    <row r="54" spans="10:10">
      <c r="J54" s="86" t="s">
        <v>137</v>
      </c>
    </row>
    <row r="55" spans="10:10">
      <c r="J55" s="86" t="s">
        <v>138</v>
      </c>
    </row>
    <row r="56" spans="10:10">
      <c r="J56" s="86" t="s">
        <v>139</v>
      </c>
    </row>
    <row r="57" spans="10:10">
      <c r="J57" s="86" t="s">
        <v>140</v>
      </c>
    </row>
    <row r="58" spans="10:10">
      <c r="J58" s="86" t="s">
        <v>141</v>
      </c>
    </row>
    <row r="59" spans="10:10">
      <c r="J59" s="86" t="s">
        <v>142</v>
      </c>
    </row>
    <row r="60" spans="10:10">
      <c r="J60" s="86" t="s">
        <v>143</v>
      </c>
    </row>
    <row r="61" spans="10:10">
      <c r="J61" s="86" t="s">
        <v>144</v>
      </c>
    </row>
    <row r="62" spans="10:10">
      <c r="J62" s="86" t="s">
        <v>145</v>
      </c>
    </row>
    <row r="63" spans="10:10">
      <c r="J63" s="86" t="s">
        <v>146</v>
      </c>
    </row>
    <row r="64" spans="10:10">
      <c r="J64" s="86" t="s">
        <v>147</v>
      </c>
    </row>
    <row r="65" spans="10:10">
      <c r="J65" s="86" t="s">
        <v>148</v>
      </c>
    </row>
    <row r="66" spans="10:10">
      <c r="J66" s="86" t="s">
        <v>149</v>
      </c>
    </row>
    <row r="67" spans="10:10">
      <c r="J67" s="86" t="s">
        <v>150</v>
      </c>
    </row>
    <row r="68" spans="10:10">
      <c r="J68" s="86" t="s">
        <v>151</v>
      </c>
    </row>
    <row r="69" spans="10:10">
      <c r="J69" s="86" t="s">
        <v>152</v>
      </c>
    </row>
    <row r="70" spans="10:10">
      <c r="J70" s="86" t="s">
        <v>153</v>
      </c>
    </row>
    <row r="71" spans="10:10">
      <c r="J71" s="86" t="s">
        <v>154</v>
      </c>
    </row>
    <row r="72" spans="10:10">
      <c r="J72" s="86" t="s">
        <v>155</v>
      </c>
    </row>
    <row r="73" spans="10:10">
      <c r="J73" s="86" t="s">
        <v>156</v>
      </c>
    </row>
    <row r="74" spans="10:10">
      <c r="J74" s="86" t="s">
        <v>157</v>
      </c>
    </row>
    <row r="75" spans="10:10">
      <c r="J75" s="86" t="s">
        <v>158</v>
      </c>
    </row>
    <row r="76" spans="10:10">
      <c r="J76" s="86" t="s">
        <v>159</v>
      </c>
    </row>
    <row r="77" spans="10:10">
      <c r="J77" s="86" t="s">
        <v>160</v>
      </c>
    </row>
    <row r="78" spans="10:10">
      <c r="J78" s="86" t="s">
        <v>161</v>
      </c>
    </row>
    <row r="79" spans="10:10">
      <c r="J79" s="86" t="s">
        <v>162</v>
      </c>
    </row>
    <row r="80" spans="10:10">
      <c r="J80" s="86" t="s">
        <v>163</v>
      </c>
    </row>
    <row r="81" spans="10:10">
      <c r="J81" s="86" t="s">
        <v>164</v>
      </c>
    </row>
    <row r="82" spans="10:10">
      <c r="J82" s="86" t="s">
        <v>165</v>
      </c>
    </row>
    <row r="83" spans="10:10">
      <c r="J83" s="86" t="s">
        <v>166</v>
      </c>
    </row>
    <row r="84" spans="10:10">
      <c r="J84" s="86" t="s">
        <v>167</v>
      </c>
    </row>
    <row r="85" spans="10:10">
      <c r="J85" s="86" t="s">
        <v>168</v>
      </c>
    </row>
    <row r="86" spans="10:10">
      <c r="J86" s="86" t="s">
        <v>169</v>
      </c>
    </row>
    <row r="87" spans="10:10">
      <c r="J87" s="86" t="s">
        <v>170</v>
      </c>
    </row>
    <row r="88" spans="10:10">
      <c r="J88" s="86" t="s">
        <v>171</v>
      </c>
    </row>
    <row r="89" spans="10:10">
      <c r="J89" s="86" t="s">
        <v>172</v>
      </c>
    </row>
    <row r="90" spans="10:10">
      <c r="J90" s="86" t="s">
        <v>173</v>
      </c>
    </row>
    <row r="91" spans="10:10">
      <c r="J91" s="86" t="s">
        <v>174</v>
      </c>
    </row>
    <row r="92" spans="10:10">
      <c r="J92" s="86" t="s">
        <v>175</v>
      </c>
    </row>
    <row r="93" spans="10:10">
      <c r="J93" s="86" t="s">
        <v>176</v>
      </c>
    </row>
    <row r="94" spans="10:10">
      <c r="J94" s="86" t="s">
        <v>177</v>
      </c>
    </row>
    <row r="95" spans="10:10">
      <c r="J95" s="86" t="s">
        <v>178</v>
      </c>
    </row>
    <row r="96" spans="10:10">
      <c r="J96" s="86" t="s">
        <v>179</v>
      </c>
    </row>
    <row r="97" spans="10:10">
      <c r="J97" s="86" t="s">
        <v>180</v>
      </c>
    </row>
    <row r="98" spans="10:10">
      <c r="J98" s="86" t="s">
        <v>181</v>
      </c>
    </row>
    <row r="99" spans="10:10">
      <c r="J99" s="86" t="s">
        <v>182</v>
      </c>
    </row>
    <row r="100" spans="10:10">
      <c r="J100" s="86" t="s">
        <v>183</v>
      </c>
    </row>
    <row r="101" spans="10:10">
      <c r="J101" s="86" t="s">
        <v>184</v>
      </c>
    </row>
    <row r="102" spans="10:10">
      <c r="J102" s="86" t="s">
        <v>185</v>
      </c>
    </row>
    <row r="103" spans="10:10">
      <c r="J103" s="86" t="s">
        <v>186</v>
      </c>
    </row>
    <row r="104" spans="10:10">
      <c r="J104" s="86" t="s">
        <v>187</v>
      </c>
    </row>
    <row r="105" spans="10:10">
      <c r="J105" s="86" t="s">
        <v>188</v>
      </c>
    </row>
    <row r="106" spans="10:10">
      <c r="J106" s="86" t="s">
        <v>189</v>
      </c>
    </row>
    <row r="107" spans="10:10">
      <c r="J107" s="86" t="s">
        <v>190</v>
      </c>
    </row>
    <row r="108" spans="10:10">
      <c r="J108" s="86" t="s">
        <v>191</v>
      </c>
    </row>
    <row r="109" spans="10:10">
      <c r="J109" s="86" t="s">
        <v>192</v>
      </c>
    </row>
    <row r="110" spans="10:10">
      <c r="J110" s="86" t="s">
        <v>193</v>
      </c>
    </row>
    <row r="111" spans="10:10">
      <c r="J111" s="86" t="s">
        <v>59</v>
      </c>
    </row>
    <row r="112" spans="10:10">
      <c r="J112" s="86" t="s">
        <v>194</v>
      </c>
    </row>
    <row r="113" spans="10:10">
      <c r="J113" s="86" t="s">
        <v>195</v>
      </c>
    </row>
    <row r="114" spans="10:10">
      <c r="J114" s="86" t="s">
        <v>196</v>
      </c>
    </row>
    <row r="115" spans="10:10">
      <c r="J115" s="86" t="s">
        <v>197</v>
      </c>
    </row>
    <row r="116" spans="10:10">
      <c r="J116" s="86" t="s">
        <v>198</v>
      </c>
    </row>
    <row r="117" spans="10:10">
      <c r="J117" s="86" t="s">
        <v>199</v>
      </c>
    </row>
    <row r="118" spans="10:10">
      <c r="J118" s="86" t="s">
        <v>200</v>
      </c>
    </row>
    <row r="119" spans="10:10">
      <c r="J119" s="86" t="s">
        <v>201</v>
      </c>
    </row>
    <row r="120" spans="10:10">
      <c r="J120" s="86" t="s">
        <v>202</v>
      </c>
    </row>
    <row r="121" spans="10:10">
      <c r="J121" s="86" t="s">
        <v>203</v>
      </c>
    </row>
    <row r="122" spans="10:10">
      <c r="J122" s="86" t="s">
        <v>204</v>
      </c>
    </row>
    <row r="123" spans="10:10">
      <c r="J123" s="86" t="s">
        <v>205</v>
      </c>
    </row>
    <row r="124" spans="10:10">
      <c r="J124" s="86" t="s">
        <v>206</v>
      </c>
    </row>
    <row r="125" spans="10:10">
      <c r="J125" s="86" t="s">
        <v>207</v>
      </c>
    </row>
    <row r="126" spans="10:10">
      <c r="J126" s="86" t="s">
        <v>208</v>
      </c>
    </row>
    <row r="127" spans="10:10">
      <c r="J127" s="86" t="s">
        <v>209</v>
      </c>
    </row>
    <row r="128" spans="10:10">
      <c r="J128" s="86" t="s">
        <v>210</v>
      </c>
    </row>
    <row r="129" spans="10:10">
      <c r="J129" s="86" t="s">
        <v>211</v>
      </c>
    </row>
    <row r="130" spans="10:10">
      <c r="J130" s="86" t="s">
        <v>212</v>
      </c>
    </row>
    <row r="131" spans="10:10">
      <c r="J131" s="86" t="s">
        <v>213</v>
      </c>
    </row>
    <row r="132" spans="10:10">
      <c r="J132" s="86" t="s">
        <v>214</v>
      </c>
    </row>
    <row r="133" spans="10:10">
      <c r="J133" s="86" t="s">
        <v>215</v>
      </c>
    </row>
    <row r="134" spans="10:10">
      <c r="J134" s="86" t="s">
        <v>216</v>
      </c>
    </row>
    <row r="135" spans="10:10">
      <c r="J135" s="86" t="s">
        <v>217</v>
      </c>
    </row>
    <row r="136" spans="10:10">
      <c r="J136" s="86" t="s">
        <v>218</v>
      </c>
    </row>
    <row r="137" spans="10:10">
      <c r="J137" s="86" t="s">
        <v>219</v>
      </c>
    </row>
    <row r="138" spans="10:10">
      <c r="J138" s="86" t="s">
        <v>220</v>
      </c>
    </row>
    <row r="139" spans="10:10">
      <c r="J139" s="86" t="s">
        <v>221</v>
      </c>
    </row>
    <row r="140" spans="10:10">
      <c r="J140" s="86" t="s">
        <v>222</v>
      </c>
    </row>
    <row r="141" spans="10:10">
      <c r="J141" s="86" t="s">
        <v>223</v>
      </c>
    </row>
    <row r="142" spans="10:10">
      <c r="J142" s="86" t="s">
        <v>224</v>
      </c>
    </row>
    <row r="143" spans="10:10">
      <c r="J143" s="86" t="s">
        <v>225</v>
      </c>
    </row>
    <row r="144" spans="10:10">
      <c r="J144" s="403"/>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4"/>
  <sheetViews>
    <sheetView showGridLines="0" zoomScale="85" zoomScaleNormal="85" zoomScaleSheetLayoutView="40" workbookViewId="0">
      <pane ySplit="2" topLeftCell="A42" activePane="bottomLeft" state="frozen"/>
      <selection activeCell="E22" sqref="E22"/>
      <selection pane="bottomLeft" activeCell="B23" sqref="B23:D2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65" t="str">
        <f>+"Dashboard: "&amp;" "&amp;+IF('Introducerea datelor'!C4="Please Select","",'Introducerea datelor'!C4&amp;" - ")&amp;+IF('Introducerea datelor'!G6="Please Select","",'Introducerea datelor'!G6)</f>
        <v>Dashboard:  Moldova - HIV / AIDS</v>
      </c>
      <c r="C2" s="665"/>
      <c r="D2" s="665"/>
      <c r="E2" s="665"/>
      <c r="F2" s="665"/>
      <c r="G2" s="665"/>
      <c r="H2" s="665"/>
      <c r="I2" s="665"/>
      <c r="J2" s="665"/>
      <c r="K2" s="665"/>
      <c r="L2" s="665"/>
      <c r="M2" s="665"/>
    </row>
    <row r="3" spans="1:15" ht="15.75" customHeight="1">
      <c r="A3" s="3"/>
      <c r="B3" s="218"/>
      <c r="C3" s="218"/>
      <c r="D3" s="218"/>
      <c r="E3" s="218"/>
      <c r="F3" s="218"/>
      <c r="G3" s="218"/>
      <c r="H3" s="218"/>
      <c r="I3" s="218"/>
      <c r="J3" s="218"/>
      <c r="K3" s="219"/>
      <c r="L3" s="219"/>
      <c r="M3" s="3"/>
    </row>
    <row r="5" spans="1:15" ht="23.25">
      <c r="B5" s="644" t="s">
        <v>242</v>
      </c>
      <c r="C5" s="644"/>
      <c r="D5" s="644"/>
      <c r="E5" s="644"/>
      <c r="F5" s="644"/>
      <c r="G5" s="644"/>
      <c r="H5" s="644"/>
      <c r="I5" s="644"/>
      <c r="J5" s="644"/>
      <c r="K5" s="644"/>
      <c r="L5" s="644"/>
      <c r="M5" s="644"/>
      <c r="N5" s="644"/>
      <c r="O5" s="644"/>
    </row>
    <row r="7" spans="1:15" ht="21">
      <c r="B7" s="666" t="s">
        <v>231</v>
      </c>
      <c r="C7" s="667"/>
      <c r="D7" s="668"/>
      <c r="E7" s="666" t="s">
        <v>232</v>
      </c>
      <c r="F7" s="667"/>
      <c r="G7" s="667"/>
      <c r="H7" s="667"/>
      <c r="I7" s="668"/>
      <c r="J7" s="666" t="s">
        <v>233</v>
      </c>
      <c r="K7" s="667"/>
      <c r="L7" s="668"/>
      <c r="M7" s="666" t="s">
        <v>271</v>
      </c>
      <c r="N7" s="667"/>
      <c r="O7" s="668"/>
    </row>
    <row r="8" spans="1:15" ht="92.25" customHeight="1">
      <c r="B8" s="586" t="str">
        <f>+'Introducerea datelor'!B27</f>
        <v>F1: Bugetul și debursările de către Fondul Global</v>
      </c>
      <c r="C8" s="677"/>
      <c r="D8" s="678"/>
      <c r="E8" s="669" t="s">
        <v>293</v>
      </c>
      <c r="F8" s="670"/>
      <c r="G8" s="670"/>
      <c r="H8" s="670"/>
      <c r="I8" s="671"/>
      <c r="J8" s="606" t="s">
        <v>272</v>
      </c>
      <c r="K8" s="607"/>
      <c r="L8" s="608"/>
      <c r="M8" s="606" t="s">
        <v>294</v>
      </c>
      <c r="N8" s="607"/>
      <c r="O8" s="608"/>
    </row>
    <row r="9" spans="1:15" ht="117.75" customHeight="1">
      <c r="B9" s="586" t="str">
        <f>+'Introducerea datelor'!B36</f>
        <v>F2: Bugetul și cheltuielile actuale după Obiectivele Grantului</v>
      </c>
      <c r="C9" s="677"/>
      <c r="D9" s="678"/>
      <c r="E9" s="621" t="s">
        <v>280</v>
      </c>
      <c r="F9" s="622"/>
      <c r="G9" s="622"/>
      <c r="H9" s="622"/>
      <c r="I9" s="623"/>
      <c r="J9" s="606" t="s">
        <v>274</v>
      </c>
      <c r="K9" s="607"/>
      <c r="L9" s="608"/>
      <c r="M9" s="606" t="s">
        <v>294</v>
      </c>
      <c r="N9" s="607"/>
      <c r="O9" s="608"/>
    </row>
    <row r="10" spans="1:15" ht="174.75" customHeight="1">
      <c r="B10" s="672" t="str">
        <f>+'Introducerea datelor'!B49</f>
        <v>F3: Debursări și cheltuieli</v>
      </c>
      <c r="C10" s="675"/>
      <c r="D10" s="676"/>
      <c r="E10" s="621" t="s">
        <v>295</v>
      </c>
      <c r="F10" s="622"/>
      <c r="G10" s="622"/>
      <c r="H10" s="622"/>
      <c r="I10" s="623"/>
      <c r="J10" s="606" t="s">
        <v>281</v>
      </c>
      <c r="K10" s="607"/>
      <c r="L10" s="608"/>
      <c r="M10" s="606" t="s">
        <v>273</v>
      </c>
      <c r="N10" s="607"/>
      <c r="O10" s="608"/>
    </row>
    <row r="11" spans="1:15" ht="227.25" customHeight="1">
      <c r="B11" s="672" t="str">
        <f>+'Introducerea datelor'!B58</f>
        <v xml:space="preserve">F4: Ultima perioadă de raportare și debursare a RP </v>
      </c>
      <c r="C11" s="673"/>
      <c r="D11" s="674"/>
      <c r="E11" s="621" t="s">
        <v>298</v>
      </c>
      <c r="F11" s="622"/>
      <c r="G11" s="622"/>
      <c r="H11" s="622"/>
      <c r="I11" s="623"/>
      <c r="J11" s="606" t="s">
        <v>282</v>
      </c>
      <c r="K11" s="607"/>
      <c r="L11" s="608"/>
      <c r="M11" s="606" t="s">
        <v>236</v>
      </c>
      <c r="N11" s="607"/>
      <c r="O11" s="608"/>
    </row>
    <row r="12" spans="1:15" s="19" customFormat="1">
      <c r="B12" s="679"/>
      <c r="C12" s="679"/>
      <c r="D12" s="679"/>
      <c r="E12" s="680"/>
      <c r="F12" s="680"/>
      <c r="G12" s="680"/>
      <c r="H12" s="680"/>
      <c r="I12" s="680"/>
      <c r="J12" s="680"/>
      <c r="K12" s="680"/>
      <c r="L12" s="680"/>
      <c r="M12" s="680"/>
      <c r="N12" s="680"/>
      <c r="O12" s="680"/>
    </row>
    <row r="13" spans="1:15" s="19" customFormat="1">
      <c r="B13" s="631"/>
      <c r="C13" s="631"/>
      <c r="D13" s="631"/>
      <c r="E13" s="632"/>
      <c r="F13" s="632"/>
      <c r="G13" s="632"/>
      <c r="H13" s="632"/>
      <c r="I13" s="632"/>
      <c r="J13" s="632"/>
      <c r="K13" s="632"/>
      <c r="L13" s="632"/>
      <c r="M13" s="632"/>
      <c r="N13" s="632"/>
      <c r="O13" s="632"/>
    </row>
    <row r="14" spans="1:15" s="19" customFormat="1">
      <c r="B14" s="631"/>
      <c r="C14" s="631"/>
      <c r="D14" s="631"/>
      <c r="E14" s="632"/>
      <c r="F14" s="632"/>
      <c r="G14" s="632"/>
      <c r="H14" s="632"/>
      <c r="I14" s="632"/>
      <c r="J14" s="632"/>
      <c r="K14" s="632"/>
      <c r="L14" s="632"/>
      <c r="M14" s="632"/>
      <c r="N14" s="632"/>
      <c r="O14" s="632"/>
    </row>
    <row r="15" spans="1:15" s="19" customFormat="1">
      <c r="B15" s="631"/>
      <c r="C15" s="631"/>
      <c r="D15" s="631"/>
      <c r="E15" s="632"/>
      <c r="F15" s="632"/>
      <c r="G15" s="632"/>
      <c r="H15" s="632"/>
      <c r="I15" s="632"/>
      <c r="J15" s="632"/>
      <c r="K15" s="632"/>
      <c r="L15" s="632"/>
      <c r="M15" s="632"/>
      <c r="N15" s="632"/>
      <c r="O15" s="632"/>
    </row>
    <row r="16" spans="1:15" ht="23.25">
      <c r="B16" s="644" t="s">
        <v>243</v>
      </c>
      <c r="C16" s="644"/>
      <c r="D16" s="644"/>
      <c r="E16" s="644"/>
      <c r="F16" s="644"/>
      <c r="G16" s="644"/>
      <c r="H16" s="644"/>
      <c r="I16" s="644"/>
      <c r="J16" s="644"/>
      <c r="K16" s="644"/>
      <c r="L16" s="644"/>
      <c r="M16" s="644"/>
      <c r="N16" s="644"/>
      <c r="O16" s="644"/>
    </row>
    <row r="18" spans="1:15" ht="21">
      <c r="B18" s="681" t="s">
        <v>231</v>
      </c>
      <c r="C18" s="682"/>
      <c r="D18" s="683"/>
      <c r="E18" s="681" t="s">
        <v>232</v>
      </c>
      <c r="F18" s="682"/>
      <c r="G18" s="682"/>
      <c r="H18" s="682"/>
      <c r="I18" s="683"/>
      <c r="J18" s="681" t="s">
        <v>233</v>
      </c>
      <c r="K18" s="682"/>
      <c r="L18" s="683"/>
      <c r="M18" s="681" t="s">
        <v>234</v>
      </c>
      <c r="N18" s="682"/>
      <c r="O18" s="683"/>
    </row>
    <row r="19" spans="1:15" ht="114" customHeight="1">
      <c r="B19" s="586" t="str">
        <f>+'Introducerea datelor'!B69</f>
        <v xml:space="preserve">M1: Statutul Condițiilor Precedente și a Acțiunilor Prestabilite în Timp </v>
      </c>
      <c r="C19" s="587"/>
      <c r="D19" s="588"/>
      <c r="E19" s="621" t="s">
        <v>241</v>
      </c>
      <c r="F19" s="622"/>
      <c r="G19" s="622"/>
      <c r="H19" s="622"/>
      <c r="I19" s="623"/>
      <c r="J19" s="606" t="s">
        <v>275</v>
      </c>
      <c r="K19" s="607"/>
      <c r="L19" s="608"/>
      <c r="M19" s="606" t="s">
        <v>276</v>
      </c>
      <c r="N19" s="607"/>
      <c r="O19" s="608"/>
    </row>
    <row r="20" spans="1:15" ht="102.75" customHeight="1">
      <c r="B20" s="586" t="str">
        <f>+'Introducerea datelor'!B76</f>
        <v xml:space="preserve">M2: Statutul pozițiilor cheie ale RP </v>
      </c>
      <c r="C20" s="587"/>
      <c r="D20" s="588"/>
      <c r="E20" s="621" t="s">
        <v>296</v>
      </c>
      <c r="F20" s="622"/>
      <c r="G20" s="622"/>
      <c r="H20" s="622"/>
      <c r="I20" s="623"/>
      <c r="J20" s="606" t="s">
        <v>238</v>
      </c>
      <c r="K20" s="607"/>
      <c r="L20" s="608"/>
      <c r="M20" s="606" t="s">
        <v>237</v>
      </c>
      <c r="N20" s="607"/>
      <c r="O20" s="608"/>
    </row>
    <row r="21" spans="1:15" ht="111.75" customHeight="1">
      <c r="B21" s="586" t="str">
        <f>+'Introducerea datelor'!B81</f>
        <v xml:space="preserve">M3: Aranjamente contractuale (SR) </v>
      </c>
      <c r="C21" s="587"/>
      <c r="D21" s="588"/>
      <c r="E21" s="624" t="s">
        <v>0</v>
      </c>
      <c r="F21" s="622"/>
      <c r="G21" s="622"/>
      <c r="H21" s="622"/>
      <c r="I21" s="623"/>
      <c r="J21" s="606" t="s">
        <v>277</v>
      </c>
      <c r="K21" s="607"/>
      <c r="L21" s="608"/>
      <c r="M21" s="606" t="s">
        <v>278</v>
      </c>
      <c r="N21" s="607"/>
      <c r="O21" s="608"/>
    </row>
    <row r="22" spans="1:15" ht="74.25" customHeight="1">
      <c r="B22" s="586" t="str">
        <f>+'Introducerea datelor'!B86</f>
        <v>M4: Numărul rapoartelor complete recepționate la timp</v>
      </c>
      <c r="C22" s="587"/>
      <c r="D22" s="588"/>
      <c r="E22" s="624" t="s">
        <v>299</v>
      </c>
      <c r="F22" s="633"/>
      <c r="G22" s="633"/>
      <c r="H22" s="633"/>
      <c r="I22" s="634"/>
      <c r="J22" s="606" t="s">
        <v>283</v>
      </c>
      <c r="K22" s="607"/>
      <c r="L22" s="608"/>
      <c r="M22" s="606" t="s">
        <v>239</v>
      </c>
      <c r="N22" s="607"/>
      <c r="O22" s="608"/>
    </row>
    <row r="23" spans="1:15" ht="119.25" customHeight="1">
      <c r="B23" s="625" t="str">
        <f>+'Introducerea datelor'!B92</f>
        <v xml:space="preserve">M5: Bugetul și Procurarea produselor medicale, echipamentului medical, medicamentelor și produselor farmaceutice </v>
      </c>
      <c r="C23" s="626"/>
      <c r="D23" s="627"/>
      <c r="E23" s="635" t="s">
        <v>284</v>
      </c>
      <c r="F23" s="636"/>
      <c r="G23" s="636"/>
      <c r="H23" s="636"/>
      <c r="I23" s="637"/>
      <c r="J23" s="615" t="s">
        <v>235</v>
      </c>
      <c r="K23" s="616"/>
      <c r="L23" s="617"/>
      <c r="M23" s="615" t="s">
        <v>240</v>
      </c>
      <c r="N23" s="616"/>
      <c r="O23" s="617"/>
    </row>
    <row r="24" spans="1:15" ht="66.75" customHeight="1">
      <c r="B24" s="628"/>
      <c r="C24" s="629"/>
      <c r="D24" s="630"/>
      <c r="E24" s="638" t="s">
        <v>279</v>
      </c>
      <c r="F24" s="639"/>
      <c r="G24" s="639"/>
      <c r="H24" s="639"/>
      <c r="I24" s="640"/>
      <c r="J24" s="618"/>
      <c r="K24" s="619"/>
      <c r="L24" s="620"/>
      <c r="M24" s="618"/>
      <c r="N24" s="619"/>
      <c r="O24" s="620"/>
    </row>
    <row r="25" spans="1:15" ht="145.5" customHeight="1">
      <c r="B25" s="586" t="str">
        <f>+'Introducerea datelor'!B105</f>
        <v>M6: Diferență între stocul curent și stocul de siguranță</v>
      </c>
      <c r="C25" s="587"/>
      <c r="D25" s="588"/>
      <c r="E25" s="595" t="s">
        <v>300</v>
      </c>
      <c r="F25" s="596"/>
      <c r="G25" s="596"/>
      <c r="H25" s="596"/>
      <c r="I25" s="597"/>
      <c r="J25" s="612" t="s">
        <v>285</v>
      </c>
      <c r="K25" s="613"/>
      <c r="L25" s="614"/>
      <c r="M25" s="609" t="s">
        <v>286</v>
      </c>
      <c r="N25" s="610"/>
      <c r="O25" s="611"/>
    </row>
    <row r="29" spans="1:15" ht="18.75">
      <c r="B29" s="249"/>
    </row>
    <row r="30" spans="1:15" ht="23.25">
      <c r="B30" s="644" t="s">
        <v>434</v>
      </c>
      <c r="C30" s="644"/>
      <c r="D30" s="644"/>
      <c r="E30" s="644"/>
      <c r="F30" s="644"/>
      <c r="G30" s="644"/>
      <c r="H30" s="644"/>
      <c r="I30" s="644"/>
      <c r="J30" s="644"/>
      <c r="K30" s="644"/>
      <c r="L30" s="644"/>
      <c r="M30" s="644"/>
      <c r="N30" s="644"/>
      <c r="O30" s="644"/>
    </row>
    <row r="32" spans="1:15" ht="28.5" customHeight="1">
      <c r="A32" s="243"/>
      <c r="B32" s="645" t="s">
        <v>270</v>
      </c>
      <c r="C32" s="646"/>
      <c r="D32" s="647"/>
      <c r="E32" s="648" t="s">
        <v>435</v>
      </c>
      <c r="F32" s="649"/>
      <c r="G32" s="649"/>
      <c r="H32" s="649"/>
      <c r="I32" s="650"/>
      <c r="J32" s="648" t="s">
        <v>304</v>
      </c>
      <c r="K32" s="649"/>
      <c r="L32" s="650"/>
      <c r="M32" s="648" t="s">
        <v>307</v>
      </c>
      <c r="N32" s="649"/>
      <c r="O32" s="650"/>
    </row>
    <row r="33" spans="1:15" ht="120" customHeight="1">
      <c r="A33" s="244"/>
      <c r="B33" s="574" t="s">
        <v>415</v>
      </c>
      <c r="C33" s="575"/>
      <c r="D33" s="576"/>
      <c r="E33" s="592" t="s">
        <v>417</v>
      </c>
      <c r="F33" s="593"/>
      <c r="G33" s="593"/>
      <c r="H33" s="593"/>
      <c r="I33" s="594"/>
      <c r="J33" s="580" t="s">
        <v>423</v>
      </c>
      <c r="K33" s="581"/>
      <c r="L33" s="582"/>
      <c r="M33" s="571" t="s">
        <v>421</v>
      </c>
      <c r="N33" s="584"/>
      <c r="O33" s="585"/>
    </row>
    <row r="34" spans="1:15" ht="9.75" customHeight="1">
      <c r="A34" s="244"/>
      <c r="B34" s="601"/>
      <c r="C34" s="602"/>
      <c r="D34" s="603"/>
      <c r="E34" s="456"/>
      <c r="F34" s="457"/>
      <c r="G34" s="457"/>
      <c r="H34" s="457"/>
      <c r="I34" s="458"/>
      <c r="J34" s="459"/>
      <c r="K34" s="460"/>
      <c r="L34" s="461"/>
      <c r="M34" s="459"/>
      <c r="N34" s="460"/>
      <c r="O34" s="461"/>
    </row>
    <row r="35" spans="1:15" ht="122.25" customHeight="1">
      <c r="A35" s="244"/>
      <c r="B35" s="574" t="s">
        <v>416</v>
      </c>
      <c r="C35" s="575"/>
      <c r="D35" s="576"/>
      <c r="E35" s="592" t="s">
        <v>418</v>
      </c>
      <c r="F35" s="593"/>
      <c r="G35" s="593"/>
      <c r="H35" s="593"/>
      <c r="I35" s="594"/>
      <c r="J35" s="580" t="s">
        <v>424</v>
      </c>
      <c r="K35" s="581"/>
      <c r="L35" s="582"/>
      <c r="M35" s="571" t="s">
        <v>420</v>
      </c>
      <c r="N35" s="584"/>
      <c r="O35" s="585"/>
    </row>
    <row r="36" spans="1:15" ht="111" customHeight="1">
      <c r="A36" s="244"/>
      <c r="B36" s="604" t="s">
        <v>414</v>
      </c>
      <c r="C36" s="569"/>
      <c r="D36" s="570"/>
      <c r="E36" s="605" t="s">
        <v>419</v>
      </c>
      <c r="F36" s="593"/>
      <c r="G36" s="593"/>
      <c r="H36" s="593"/>
      <c r="I36" s="594"/>
      <c r="J36" s="580" t="s">
        <v>424</v>
      </c>
      <c r="K36" s="581"/>
      <c r="L36" s="582"/>
      <c r="M36" s="571" t="s">
        <v>422</v>
      </c>
      <c r="N36" s="584"/>
      <c r="O36" s="585"/>
    </row>
    <row r="37" spans="1:15" ht="91.5" customHeight="1">
      <c r="A37" s="244"/>
      <c r="B37" s="574" t="s">
        <v>425</v>
      </c>
      <c r="C37" s="575"/>
      <c r="D37" s="576"/>
      <c r="E37" s="589" t="s">
        <v>426</v>
      </c>
      <c r="F37" s="590"/>
      <c r="G37" s="590"/>
      <c r="H37" s="590"/>
      <c r="I37" s="591"/>
      <c r="J37" s="580" t="s">
        <v>423</v>
      </c>
      <c r="K37" s="581"/>
      <c r="L37" s="582"/>
      <c r="M37" s="467" t="s">
        <v>427</v>
      </c>
      <c r="N37" s="462"/>
      <c r="O37" s="463"/>
    </row>
    <row r="38" spans="1:15" ht="96" customHeight="1">
      <c r="A38" s="244"/>
      <c r="B38" s="574" t="s">
        <v>428</v>
      </c>
      <c r="C38" s="575"/>
      <c r="D38" s="576"/>
      <c r="E38" s="598" t="s">
        <v>429</v>
      </c>
      <c r="F38" s="599"/>
      <c r="G38" s="599"/>
      <c r="H38" s="599"/>
      <c r="I38" s="600"/>
      <c r="J38" s="580" t="s">
        <v>423</v>
      </c>
      <c r="K38" s="581"/>
      <c r="L38" s="582"/>
      <c r="M38" s="571" t="s">
        <v>430</v>
      </c>
      <c r="N38" s="584"/>
      <c r="O38" s="585"/>
    </row>
    <row r="39" spans="1:15" ht="108" customHeight="1">
      <c r="A39" s="244"/>
      <c r="B39" s="574" t="s">
        <v>431</v>
      </c>
      <c r="C39" s="575"/>
      <c r="D39" s="576"/>
      <c r="E39" s="592" t="s">
        <v>432</v>
      </c>
      <c r="F39" s="593"/>
      <c r="G39" s="593"/>
      <c r="H39" s="593"/>
      <c r="I39" s="594"/>
      <c r="J39" s="580" t="s">
        <v>423</v>
      </c>
      <c r="K39" s="581"/>
      <c r="L39" s="582"/>
      <c r="M39" s="589" t="s">
        <v>433</v>
      </c>
      <c r="N39" s="584"/>
      <c r="O39" s="585"/>
    </row>
    <row r="40" spans="1:15" ht="113.25" hidden="1" customHeight="1">
      <c r="A40" s="244"/>
      <c r="B40" s="574"/>
      <c r="C40" s="575"/>
      <c r="D40" s="576"/>
      <c r="E40" s="571"/>
      <c r="F40" s="584"/>
      <c r="G40" s="584"/>
      <c r="H40" s="584"/>
      <c r="I40" s="585"/>
      <c r="J40" s="580"/>
      <c r="K40" s="581"/>
      <c r="L40" s="582"/>
      <c r="M40" s="467"/>
      <c r="N40" s="462"/>
      <c r="O40" s="463"/>
    </row>
    <row r="41" spans="1:15" ht="109.5" hidden="1" customHeight="1">
      <c r="A41" s="244"/>
      <c r="B41" s="574"/>
      <c r="C41" s="575"/>
      <c r="D41" s="576"/>
      <c r="E41" s="577"/>
      <c r="F41" s="578"/>
      <c r="G41" s="578"/>
      <c r="H41" s="578"/>
      <c r="I41" s="579"/>
      <c r="J41" s="580"/>
      <c r="K41" s="581"/>
      <c r="L41" s="582"/>
      <c r="M41" s="583"/>
      <c r="N41" s="584"/>
      <c r="O41" s="585"/>
    </row>
    <row r="43" spans="1:15" ht="84" hidden="1" customHeight="1">
      <c r="A43" s="244"/>
      <c r="B43" s="568" t="s">
        <v>311</v>
      </c>
      <c r="C43" s="660"/>
      <c r="D43" s="661"/>
      <c r="E43" s="571" t="s">
        <v>313</v>
      </c>
      <c r="F43" s="572"/>
      <c r="G43" s="572"/>
      <c r="H43" s="572"/>
      <c r="I43" s="573"/>
      <c r="J43" s="580" t="s">
        <v>305</v>
      </c>
      <c r="K43" s="581"/>
      <c r="L43" s="582"/>
      <c r="M43" s="571" t="s">
        <v>316</v>
      </c>
      <c r="N43" s="572"/>
      <c r="O43" s="573"/>
    </row>
    <row r="44" spans="1:15" ht="88.5" hidden="1" customHeight="1">
      <c r="A44" s="244"/>
      <c r="B44" s="568" t="s">
        <v>312</v>
      </c>
      <c r="C44" s="569"/>
      <c r="D44" s="570"/>
      <c r="E44" s="592" t="s">
        <v>314</v>
      </c>
      <c r="F44" s="593"/>
      <c r="G44" s="593"/>
      <c r="H44" s="593"/>
      <c r="I44" s="594"/>
      <c r="J44" s="580" t="s">
        <v>306</v>
      </c>
      <c r="K44" s="581"/>
      <c r="L44" s="582"/>
      <c r="M44" s="467" t="s">
        <v>315</v>
      </c>
      <c r="N44" s="462"/>
      <c r="O44" s="463"/>
    </row>
    <row r="45" spans="1:15" ht="64.5" hidden="1" customHeight="1">
      <c r="A45" s="244"/>
      <c r="B45" s="565"/>
      <c r="C45" s="566"/>
      <c r="D45" s="567"/>
      <c r="E45" s="562"/>
      <c r="F45" s="563"/>
      <c r="G45" s="563"/>
      <c r="H45" s="563"/>
      <c r="I45" s="564"/>
      <c r="J45" s="559"/>
      <c r="K45" s="560"/>
      <c r="L45" s="561"/>
      <c r="M45" s="257"/>
      <c r="N45" s="258"/>
      <c r="O45" s="259"/>
    </row>
    <row r="46" spans="1:15" ht="49.5" hidden="1" customHeight="1">
      <c r="B46" s="565"/>
      <c r="C46" s="566"/>
      <c r="D46" s="567"/>
      <c r="E46" s="562"/>
      <c r="F46" s="563"/>
      <c r="G46" s="563"/>
      <c r="H46" s="563"/>
      <c r="I46" s="564"/>
      <c r="J46" s="559"/>
      <c r="K46" s="560"/>
      <c r="L46" s="561"/>
      <c r="M46" s="257"/>
      <c r="N46" s="258"/>
      <c r="O46" s="259"/>
    </row>
    <row r="47" spans="1:15" ht="30" hidden="1" customHeight="1">
      <c r="B47" s="662"/>
      <c r="C47" s="663"/>
      <c r="D47" s="664"/>
      <c r="E47" s="245"/>
      <c r="F47" s="246"/>
      <c r="G47" s="246"/>
      <c r="H47" s="246"/>
      <c r="I47" s="247"/>
      <c r="J47" s="257"/>
      <c r="K47" s="258"/>
      <c r="L47" s="259"/>
      <c r="M47" s="257"/>
      <c r="N47" s="258"/>
      <c r="O47" s="259"/>
    </row>
    <row r="48" spans="1:15" ht="44.25" hidden="1" customHeight="1">
      <c r="B48" s="654" t="s">
        <v>249</v>
      </c>
      <c r="C48" s="655"/>
      <c r="D48" s="656"/>
      <c r="E48" s="657" t="s">
        <v>232</v>
      </c>
      <c r="F48" s="658"/>
      <c r="G48" s="658"/>
      <c r="H48" s="658"/>
      <c r="I48" s="659"/>
      <c r="J48" s="657" t="s">
        <v>233</v>
      </c>
      <c r="K48" s="658"/>
      <c r="L48" s="659"/>
      <c r="M48" s="657" t="s">
        <v>234</v>
      </c>
      <c r="N48" s="658"/>
      <c r="O48" s="659"/>
    </row>
    <row r="49" spans="2:15" ht="33.75" hidden="1" customHeight="1">
      <c r="B49" s="240"/>
      <c r="C49" s="241"/>
      <c r="D49" s="241"/>
      <c r="E49" s="234"/>
      <c r="F49" s="236"/>
      <c r="G49" s="236"/>
      <c r="H49" s="236"/>
      <c r="I49" s="236"/>
      <c r="J49" s="234"/>
      <c r="K49" s="234"/>
      <c r="L49" s="235"/>
      <c r="M49" s="233"/>
      <c r="N49" s="234"/>
      <c r="O49" s="235"/>
    </row>
    <row r="50" spans="2:15" ht="15.75" customHeight="1">
      <c r="B50" s="651" t="s">
        <v>248</v>
      </c>
      <c r="C50" s="652"/>
      <c r="D50" s="652"/>
      <c r="E50" s="652"/>
      <c r="F50" s="652"/>
      <c r="G50" s="652"/>
      <c r="H50" s="652"/>
      <c r="I50" s="652"/>
      <c r="J50" s="652"/>
      <c r="K50" s="652"/>
      <c r="L50" s="653"/>
      <c r="M50" s="641" t="s">
        <v>244</v>
      </c>
      <c r="N50" s="642"/>
      <c r="O50" s="643"/>
    </row>
    <row r="51" spans="2:15">
      <c r="D51" s="220"/>
    </row>
    <row r="53" spans="2:15">
      <c r="D53" s="220"/>
    </row>
    <row r="54" spans="2:15">
      <c r="D54" s="220"/>
    </row>
  </sheetData>
  <mergeCells count="124">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46:L46"/>
    <mergeCell ref="E45:I45"/>
    <mergeCell ref="B45:D45"/>
    <mergeCell ref="B46:D46"/>
    <mergeCell ref="E46:I46"/>
    <mergeCell ref="B44:D44"/>
    <mergeCell ref="M43:O43"/>
    <mergeCell ref="B41:D41"/>
    <mergeCell ref="E41:I41"/>
    <mergeCell ref="J41:L41"/>
    <mergeCell ref="M41:O41"/>
    <mergeCell ref="J43:L43"/>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3"/>
  <sheetViews>
    <sheetView showGridLines="0" topLeftCell="A178" zoomScaleNormal="100" zoomScaleSheetLayoutView="55" zoomScalePageLayoutView="10" workbookViewId="0">
      <selection activeCell="K12" sqref="K12"/>
    </sheetView>
  </sheetViews>
  <sheetFormatPr defaultColWidth="11" defaultRowHeight="15"/>
  <cols>
    <col min="1" max="1" width="2.7109375" customWidth="1"/>
    <col min="2" max="2" width="46.140625" customWidth="1"/>
    <col min="3" max="3" width="16.28515625" customWidth="1"/>
    <col min="4" max="4" width="17.7109375" customWidth="1"/>
    <col min="5"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32" t="s">
        <v>379</v>
      </c>
      <c r="C2" s="732"/>
      <c r="D2" s="732"/>
      <c r="E2" s="732"/>
      <c r="F2" s="732"/>
      <c r="G2" s="732"/>
      <c r="H2" s="732"/>
      <c r="I2" s="732"/>
      <c r="J2" s="732"/>
      <c r="K2" s="275"/>
      <c r="L2" s="275"/>
      <c r="M2" s="275"/>
    </row>
    <row r="3" spans="1:13" ht="4.5" customHeight="1">
      <c r="A3" s="3"/>
      <c r="B3" s="3"/>
      <c r="C3" s="3"/>
      <c r="D3" s="3"/>
      <c r="E3" s="3"/>
      <c r="F3" s="3"/>
      <c r="G3" s="3"/>
      <c r="H3" s="3"/>
      <c r="I3" s="3"/>
      <c r="J3" s="3"/>
      <c r="K3" s="3"/>
      <c r="L3" s="3"/>
      <c r="M3" s="3"/>
    </row>
    <row r="4" spans="1:13" ht="60.75" customHeight="1">
      <c r="A4" s="3"/>
      <c r="B4" s="273" t="s">
        <v>380</v>
      </c>
      <c r="C4" s="717" t="s">
        <v>170</v>
      </c>
      <c r="D4" s="718"/>
      <c r="E4" s="716" t="s">
        <v>384</v>
      </c>
      <c r="F4" s="716"/>
      <c r="G4" s="723" t="s">
        <v>437</v>
      </c>
      <c r="H4" s="724"/>
      <c r="I4" s="724"/>
      <c r="J4" s="725"/>
      <c r="K4" s="484"/>
      <c r="L4" s="3"/>
      <c r="M4" s="3"/>
    </row>
    <row r="5" spans="1:13" ht="3" customHeight="1">
      <c r="A5" s="3"/>
      <c r="B5" s="273"/>
      <c r="C5" s="3"/>
      <c r="D5" s="3"/>
      <c r="E5" s="276"/>
      <c r="F5" s="276"/>
      <c r="G5" s="3"/>
      <c r="H5" s="3"/>
      <c r="I5" s="3"/>
      <c r="J5" s="3"/>
      <c r="K5" s="3"/>
      <c r="L5" s="3"/>
      <c r="M5" s="3"/>
    </row>
    <row r="6" spans="1:13">
      <c r="A6" s="3"/>
      <c r="B6" s="273" t="s">
        <v>495</v>
      </c>
      <c r="C6" s="717" t="s">
        <v>436</v>
      </c>
      <c r="D6" s="718"/>
      <c r="E6" s="716" t="s">
        <v>385</v>
      </c>
      <c r="F6" s="716"/>
      <c r="G6" s="305" t="s">
        <v>16</v>
      </c>
      <c r="H6" s="273" t="s">
        <v>388</v>
      </c>
      <c r="I6" s="734">
        <v>3212688</v>
      </c>
      <c r="J6" s="735"/>
      <c r="K6" s="484"/>
      <c r="L6" s="3"/>
      <c r="M6" s="3"/>
    </row>
    <row r="7" spans="1:13" ht="3" customHeight="1">
      <c r="A7" s="3"/>
      <c r="B7" s="273"/>
      <c r="C7" s="3"/>
      <c r="D7" s="3"/>
      <c r="E7" s="276"/>
      <c r="F7" s="276"/>
      <c r="G7" s="3"/>
      <c r="H7" s="273"/>
      <c r="I7" s="3"/>
      <c r="J7" s="3"/>
      <c r="K7" s="3"/>
      <c r="L7" s="3"/>
      <c r="M7" s="3"/>
    </row>
    <row r="8" spans="1:13">
      <c r="A8" s="3"/>
      <c r="B8" s="273" t="s">
        <v>381</v>
      </c>
      <c r="C8" s="717" t="s">
        <v>496</v>
      </c>
      <c r="D8" s="718"/>
      <c r="E8" s="277"/>
      <c r="F8" s="272" t="s">
        <v>386</v>
      </c>
      <c r="G8" s="391" t="s">
        <v>289</v>
      </c>
      <c r="H8" s="272" t="s">
        <v>389</v>
      </c>
      <c r="I8" s="717"/>
      <c r="J8" s="718"/>
      <c r="K8" s="281"/>
      <c r="L8" s="3"/>
      <c r="M8" s="3"/>
    </row>
    <row r="9" spans="1:13" ht="3" customHeight="1">
      <c r="A9" s="3"/>
      <c r="B9" s="276"/>
      <c r="C9" s="3"/>
      <c r="D9" s="3"/>
      <c r="E9" s="276"/>
      <c r="F9" s="276"/>
      <c r="G9" s="3"/>
      <c r="H9" s="3"/>
      <c r="I9" s="3"/>
      <c r="J9" s="3"/>
      <c r="K9" s="3"/>
      <c r="L9" s="3"/>
      <c r="M9" s="3"/>
    </row>
    <row r="10" spans="1:13">
      <c r="A10" s="3"/>
      <c r="B10" s="273" t="s">
        <v>382</v>
      </c>
      <c r="C10" s="738">
        <v>42005</v>
      </c>
      <c r="D10" s="739"/>
      <c r="E10" s="733" t="s">
        <v>387</v>
      </c>
      <c r="F10" s="722"/>
      <c r="G10" s="717" t="s">
        <v>41</v>
      </c>
      <c r="H10" s="737"/>
      <c r="I10" s="737"/>
      <c r="J10" s="718"/>
      <c r="K10" s="3"/>
      <c r="L10" s="3"/>
      <c r="M10" s="3"/>
    </row>
    <row r="11" spans="1:13" ht="5.25" customHeight="1">
      <c r="A11" s="3"/>
      <c r="B11" s="3"/>
      <c r="C11" s="3"/>
      <c r="D11" s="3"/>
      <c r="E11" s="3"/>
      <c r="F11" s="3"/>
      <c r="G11" s="3"/>
      <c r="H11" s="3"/>
      <c r="I11" s="3"/>
      <c r="J11" s="3"/>
      <c r="K11" s="3"/>
      <c r="L11" s="3"/>
      <c r="M11" s="3"/>
    </row>
    <row r="12" spans="1:13" ht="15" customHeight="1">
      <c r="A12" s="3"/>
      <c r="B12" s="483" t="s">
        <v>383</v>
      </c>
      <c r="C12" s="715" t="s">
        <v>29</v>
      </c>
      <c r="D12" s="715"/>
      <c r="E12" s="733" t="s">
        <v>497</v>
      </c>
      <c r="F12" s="716"/>
      <c r="G12" s="736" t="s">
        <v>509</v>
      </c>
      <c r="H12" s="736"/>
      <c r="I12" s="736"/>
      <c r="J12" s="736"/>
      <c r="K12" s="3"/>
      <c r="L12" s="3"/>
      <c r="M12" s="3"/>
    </row>
    <row r="13" spans="1:13" ht="5.25" customHeight="1">
      <c r="A13" s="3"/>
      <c r="B13" s="3"/>
      <c r="C13" s="3"/>
      <c r="D13" s="3"/>
      <c r="E13" s="3"/>
      <c r="F13" s="3"/>
      <c r="G13" s="3"/>
      <c r="H13" s="3"/>
      <c r="I13" s="3"/>
      <c r="J13" s="3"/>
      <c r="K13" s="3"/>
      <c r="L13" s="3"/>
      <c r="M13" s="3"/>
    </row>
    <row r="14" spans="1:13" ht="15.75" customHeight="1">
      <c r="A14" s="3"/>
      <c r="B14" s="732" t="s">
        <v>378</v>
      </c>
      <c r="C14" s="732"/>
      <c r="D14" s="732"/>
      <c r="E14" s="732"/>
      <c r="F14" s="732"/>
      <c r="G14" s="732"/>
      <c r="H14" s="732"/>
      <c r="I14" s="732"/>
      <c r="J14" s="732"/>
      <c r="K14" s="3"/>
      <c r="L14" s="3"/>
      <c r="M14" s="3"/>
    </row>
    <row r="15" spans="1:13" ht="3" customHeight="1">
      <c r="A15" s="3"/>
      <c r="B15" s="3"/>
      <c r="C15" s="3"/>
      <c r="D15" s="3"/>
      <c r="E15" s="3"/>
      <c r="F15" s="3"/>
      <c r="G15" s="3"/>
      <c r="H15" s="3"/>
      <c r="I15" s="3"/>
      <c r="J15" s="3"/>
      <c r="K15" s="3"/>
      <c r="L15" s="3"/>
      <c r="M15" s="3"/>
    </row>
    <row r="16" spans="1:13">
      <c r="A16" s="3"/>
      <c r="B16" s="483" t="s">
        <v>398</v>
      </c>
      <c r="C16" s="391" t="s">
        <v>86</v>
      </c>
      <c r="D16" s="272" t="s">
        <v>396</v>
      </c>
      <c r="E16" s="278">
        <v>42917</v>
      </c>
      <c r="F16" s="274" t="s">
        <v>397</v>
      </c>
      <c r="G16" s="513">
        <v>43100</v>
      </c>
      <c r="H16" s="733" t="s">
        <v>395</v>
      </c>
      <c r="I16" s="722"/>
      <c r="J16" s="278">
        <v>43238</v>
      </c>
      <c r="K16" s="484"/>
      <c r="L16" s="3"/>
      <c r="M16" s="3"/>
    </row>
    <row r="17" spans="1:35" ht="3" customHeight="1">
      <c r="A17" s="3"/>
      <c r="B17" s="3"/>
      <c r="C17" s="3"/>
      <c r="D17" s="3"/>
      <c r="E17" s="3"/>
      <c r="F17" s="3"/>
      <c r="G17" s="3"/>
      <c r="H17" s="3"/>
      <c r="I17" s="3"/>
      <c r="J17" s="3"/>
      <c r="K17" s="3"/>
      <c r="L17" s="3"/>
      <c r="M17" s="3"/>
    </row>
    <row r="18" spans="1:35" ht="15.75" customHeight="1">
      <c r="A18" s="3"/>
      <c r="B18" s="721" t="s">
        <v>399</v>
      </c>
      <c r="C18" s="722"/>
      <c r="D18" s="723" t="s">
        <v>438</v>
      </c>
      <c r="E18" s="724"/>
      <c r="F18" s="725"/>
      <c r="G18" s="279"/>
      <c r="H18" s="279"/>
      <c r="I18" s="279"/>
      <c r="J18" s="27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32" t="s">
        <v>377</v>
      </c>
      <c r="C21" s="732"/>
      <c r="D21" s="732"/>
      <c r="E21" s="732"/>
      <c r="F21" s="732"/>
      <c r="G21" s="732"/>
      <c r="H21" s="732"/>
      <c r="I21" s="732"/>
      <c r="J21" s="732"/>
      <c r="K21" s="3"/>
      <c r="L21" s="3"/>
      <c r="M21" s="3"/>
    </row>
    <row r="22" spans="1:35">
      <c r="A22" s="3"/>
      <c r="B22" s="276" t="s">
        <v>390</v>
      </c>
      <c r="C22" s="3"/>
      <c r="D22" s="3"/>
      <c r="E22" s="280"/>
      <c r="F22" s="280"/>
      <c r="G22" s="3"/>
      <c r="H22" s="3"/>
      <c r="I22" s="280"/>
      <c r="J22" s="280"/>
      <c r="K22" s="3"/>
      <c r="L22" s="3"/>
      <c r="M22" s="3"/>
    </row>
    <row r="23" spans="1:35" ht="3" customHeight="1">
      <c r="A23" s="3"/>
      <c r="B23" s="3"/>
      <c r="C23" s="3"/>
      <c r="D23" s="3"/>
      <c r="E23" s="3"/>
      <c r="F23" s="3"/>
      <c r="G23" s="3"/>
      <c r="H23" s="3"/>
      <c r="I23" s="3"/>
      <c r="J23" s="3"/>
      <c r="K23" s="3"/>
      <c r="L23" s="3"/>
      <c r="M23" s="3"/>
    </row>
    <row r="24" spans="1:35">
      <c r="A24" s="3"/>
      <c r="B24" s="273" t="s">
        <v>391</v>
      </c>
      <c r="C24" s="378"/>
      <c r="D24" s="716" t="s">
        <v>392</v>
      </c>
      <c r="E24" s="716"/>
      <c r="F24" s="379"/>
      <c r="G24" s="716" t="s">
        <v>393</v>
      </c>
      <c r="H24" s="716"/>
      <c r="I24" s="751"/>
      <c r="J24" s="752"/>
      <c r="K24" s="3"/>
      <c r="L24" s="3"/>
      <c r="M24" s="3"/>
      <c r="N24" s="20"/>
    </row>
    <row r="25" spans="1:35" ht="19.5" thickBot="1">
      <c r="A25" s="3"/>
      <c r="B25" s="87" t="s">
        <v>498</v>
      </c>
      <c r="C25" s="88"/>
      <c r="D25" s="88"/>
      <c r="E25" s="88"/>
      <c r="F25" s="88"/>
      <c r="G25" s="88"/>
      <c r="H25" s="262"/>
      <c r="I25" s="89"/>
      <c r="J25" s="89"/>
      <c r="K25" s="262" t="s">
        <v>394</v>
      </c>
      <c r="L25" s="88"/>
      <c r="M25" s="88"/>
      <c r="N25" s="503"/>
      <c r="O25" s="40"/>
      <c r="AI25" s="44"/>
    </row>
    <row r="26" spans="1:35">
      <c r="A26" s="3"/>
      <c r="B26" s="728" t="s">
        <v>400</v>
      </c>
      <c r="C26" s="729"/>
      <c r="D26" s="410" t="s">
        <v>5</v>
      </c>
      <c r="E26" s="91"/>
      <c r="F26" s="91"/>
      <c r="G26" s="91"/>
      <c r="H26" s="91"/>
      <c r="I26" s="91"/>
      <c r="J26" s="92"/>
      <c r="K26" s="91"/>
      <c r="L26" s="91"/>
      <c r="M26" s="91"/>
      <c r="N26" s="40"/>
      <c r="O26" s="40"/>
      <c r="AI26" s="44"/>
    </row>
    <row r="27" spans="1:35" ht="18.75">
      <c r="A27" s="3"/>
      <c r="B27" s="90" t="s">
        <v>318</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8" t="s">
        <v>44</v>
      </c>
      <c r="C29" s="689"/>
      <c r="D29" s="689"/>
      <c r="E29" s="689"/>
      <c r="F29" s="689"/>
      <c r="G29" s="689"/>
      <c r="H29" s="689"/>
      <c r="I29" s="689"/>
      <c r="J29" s="689"/>
      <c r="K29" s="689"/>
      <c r="L29" s="689"/>
      <c r="M29" s="689"/>
      <c r="N29" s="690"/>
      <c r="P29" s="205"/>
      <c r="Q29" s="206"/>
      <c r="R29" s="207">
        <f>+C33</f>
        <v>122270.5</v>
      </c>
      <c r="S29" s="205"/>
    </row>
    <row r="30" spans="1:35">
      <c r="A30" s="3"/>
      <c r="B30" s="93" t="s">
        <v>374</v>
      </c>
      <c r="C30" s="377" t="s">
        <v>468</v>
      </c>
      <c r="D30" s="377" t="s">
        <v>76</v>
      </c>
      <c r="E30" s="377" t="s">
        <v>77</v>
      </c>
      <c r="F30" s="377" t="s">
        <v>78</v>
      </c>
      <c r="G30" s="377" t="s">
        <v>85</v>
      </c>
      <c r="H30" s="377" t="s">
        <v>86</v>
      </c>
      <c r="I30" s="362" t="s">
        <v>87</v>
      </c>
      <c r="J30" s="362" t="s">
        <v>88</v>
      </c>
      <c r="K30" s="362" t="s">
        <v>89</v>
      </c>
      <c r="L30" s="362" t="s">
        <v>90</v>
      </c>
      <c r="M30" s="362" t="s">
        <v>91</v>
      </c>
      <c r="N30" s="363" t="s">
        <v>246</v>
      </c>
      <c r="O30" s="364" t="s">
        <v>1</v>
      </c>
      <c r="P30" s="205"/>
      <c r="Q30" s="206"/>
      <c r="R30" s="207">
        <f>+D33</f>
        <v>750199.82</v>
      </c>
      <c r="S30" s="205"/>
    </row>
    <row r="31" spans="1:35">
      <c r="A31" s="3"/>
      <c r="B31" s="270" t="str">
        <f>CONCATENATE("Buget (in ",'Introducerea datelor'!$D$26,")")</f>
        <v>Buget (in €)</v>
      </c>
      <c r="C31" s="371">
        <v>122270.5</v>
      </c>
      <c r="D31" s="370">
        <v>627929.31999999995</v>
      </c>
      <c r="E31" s="370">
        <v>158529.85999999999</v>
      </c>
      <c r="F31" s="370">
        <v>810963</v>
      </c>
      <c r="G31" s="370">
        <v>335743.28</v>
      </c>
      <c r="H31" s="370">
        <f>1156109.81+1142.23</f>
        <v>1157252.04</v>
      </c>
      <c r="I31" s="370"/>
      <c r="J31" s="370"/>
      <c r="K31" s="370"/>
      <c r="L31" s="370"/>
      <c r="M31" s="370"/>
      <c r="N31" s="370"/>
      <c r="O31" s="758">
        <f>L34/I6</f>
        <v>0</v>
      </c>
      <c r="P31" s="205"/>
      <c r="Q31" s="206"/>
      <c r="R31" s="207">
        <f>+E33</f>
        <v>908729.67999999993</v>
      </c>
      <c r="S31" s="205"/>
    </row>
    <row r="32" spans="1:35">
      <c r="A32" s="3"/>
      <c r="B32" s="93" t="str">
        <f>CONCATENATE("Debursări de către FG (in ", $D$26,")")</f>
        <v>Debursări de către FG (in €)</v>
      </c>
      <c r="C32" s="371">
        <v>1558295</v>
      </c>
      <c r="D32" s="371">
        <v>0</v>
      </c>
      <c r="E32" s="371">
        <v>0</v>
      </c>
      <c r="F32" s="371">
        <v>825141</v>
      </c>
      <c r="G32" s="371">
        <v>238545</v>
      </c>
      <c r="H32" s="371">
        <v>499061.26</v>
      </c>
      <c r="I32" s="370"/>
      <c r="J32" s="370"/>
      <c r="K32" s="370"/>
      <c r="L32" s="370"/>
      <c r="M32" s="370"/>
      <c r="N32" s="370"/>
      <c r="O32" s="759"/>
      <c r="P32" s="205"/>
      <c r="Q32" s="206"/>
      <c r="R32" s="207">
        <f>+F33</f>
        <v>1719692.68</v>
      </c>
      <c r="S32" s="205"/>
    </row>
    <row r="33" spans="1:35">
      <c r="A33" s="3"/>
      <c r="B33" s="94" t="s">
        <v>375</v>
      </c>
      <c r="C33" s="372">
        <f>+C31</f>
        <v>122270.5</v>
      </c>
      <c r="D33" s="372">
        <f>IF(AND(D31=0,D32=0),0,+C33+D31)</f>
        <v>750199.82</v>
      </c>
      <c r="E33" s="372">
        <f t="shared" ref="E33:N33" si="0">IF(AND(E31=0,E32=0),0,+D33+E31)</f>
        <v>908729.67999999993</v>
      </c>
      <c r="F33" s="372">
        <f t="shared" si="0"/>
        <v>1719692.68</v>
      </c>
      <c r="G33" s="372">
        <f t="shared" si="0"/>
        <v>2055435.96</v>
      </c>
      <c r="H33" s="372">
        <f t="shared" si="0"/>
        <v>3212688</v>
      </c>
      <c r="I33" s="372">
        <f t="shared" si="0"/>
        <v>0</v>
      </c>
      <c r="J33" s="372">
        <f t="shared" si="0"/>
        <v>0</v>
      </c>
      <c r="K33" s="372">
        <f t="shared" si="0"/>
        <v>0</v>
      </c>
      <c r="L33" s="372">
        <f t="shared" si="0"/>
        <v>0</v>
      </c>
      <c r="M33" s="372">
        <f t="shared" si="0"/>
        <v>0</v>
      </c>
      <c r="N33" s="372">
        <f t="shared" si="0"/>
        <v>0</v>
      </c>
      <c r="O33" s="759"/>
      <c r="P33" s="353"/>
      <c r="Q33" s="206"/>
      <c r="R33" s="207">
        <f>+G33</f>
        <v>2055435.96</v>
      </c>
      <c r="S33" s="205"/>
    </row>
    <row r="34" spans="1:35" ht="15.75" thickBot="1">
      <c r="A34" s="3"/>
      <c r="B34" s="95" t="s">
        <v>376</v>
      </c>
      <c r="C34" s="373">
        <f>+C32</f>
        <v>1558295</v>
      </c>
      <c r="D34" s="373">
        <f>IF(AND(D31=0,D32=0),0,+C34+D32)</f>
        <v>1558295</v>
      </c>
      <c r="E34" s="373">
        <f t="shared" ref="E34:N34" si="1">IF(AND(E31=0,E32=0),0,+D34+E32)</f>
        <v>1558295</v>
      </c>
      <c r="F34" s="373">
        <f t="shared" si="1"/>
        <v>2383436</v>
      </c>
      <c r="G34" s="373">
        <f t="shared" si="1"/>
        <v>2621981</v>
      </c>
      <c r="H34" s="373">
        <f t="shared" si="1"/>
        <v>3121042.26</v>
      </c>
      <c r="I34" s="373">
        <f t="shared" si="1"/>
        <v>0</v>
      </c>
      <c r="J34" s="373">
        <f t="shared" si="1"/>
        <v>0</v>
      </c>
      <c r="K34" s="373">
        <f t="shared" si="1"/>
        <v>0</v>
      </c>
      <c r="L34" s="373">
        <f t="shared" si="1"/>
        <v>0</v>
      </c>
      <c r="M34" s="373">
        <f t="shared" si="1"/>
        <v>0</v>
      </c>
      <c r="N34" s="373">
        <f t="shared" si="1"/>
        <v>0</v>
      </c>
      <c r="O34" s="760"/>
      <c r="P34" s="353"/>
      <c r="Q34" s="206"/>
      <c r="R34" s="207">
        <f>+H33</f>
        <v>3212688</v>
      </c>
      <c r="S34" s="205"/>
    </row>
    <row r="35" spans="1:35">
      <c r="A35" s="3"/>
      <c r="B35" s="3"/>
      <c r="C35" s="331">
        <f>+IF(AND(C30=$C$16,C33&lt;&gt;0),C34/C33,0)</f>
        <v>0</v>
      </c>
      <c r="D35" s="331">
        <f t="shared" ref="D35:N35" si="2">+IF(AND(D30=$C$16,D33&lt;&gt;0),D34/D33,0)</f>
        <v>0</v>
      </c>
      <c r="E35" s="331">
        <f t="shared" si="2"/>
        <v>0</v>
      </c>
      <c r="F35" s="331">
        <f t="shared" si="2"/>
        <v>0</v>
      </c>
      <c r="G35" s="331">
        <f t="shared" si="2"/>
        <v>0</v>
      </c>
      <c r="H35" s="331">
        <f t="shared" si="2"/>
        <v>0.97147381258310794</v>
      </c>
      <c r="I35" s="331">
        <f t="shared" si="2"/>
        <v>0</v>
      </c>
      <c r="J35" s="331">
        <f t="shared" si="2"/>
        <v>0</v>
      </c>
      <c r="K35" s="331">
        <f t="shared" si="2"/>
        <v>0</v>
      </c>
      <c r="L35" s="331">
        <f t="shared" si="2"/>
        <v>0</v>
      </c>
      <c r="M35" s="331">
        <f t="shared" si="2"/>
        <v>0</v>
      </c>
      <c r="N35" s="331">
        <f t="shared" si="2"/>
        <v>0</v>
      </c>
      <c r="O35" s="281"/>
      <c r="P35" s="208"/>
      <c r="Q35" s="209"/>
      <c r="R35" s="207">
        <f>+I33</f>
        <v>0</v>
      </c>
      <c r="S35" s="205"/>
    </row>
    <row r="36" spans="1:35" ht="18.75">
      <c r="A36" s="3"/>
      <c r="B36" s="90" t="s">
        <v>319</v>
      </c>
      <c r="C36" s="3"/>
      <c r="D36" s="3"/>
      <c r="E36" s="344"/>
      <c r="F36" s="3"/>
      <c r="G36" s="25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2" t="s">
        <v>320</v>
      </c>
      <c r="C38" s="383" t="str">
        <f>CONCATENATE("Bugetul Cumulativ (in ",'Introducerea datelor'!$D$26,")")</f>
        <v>Bugetul Cumulativ (in €)</v>
      </c>
      <c r="D38" s="384" t="str">
        <f>CONCATENATE("Cheltuielile Cumulative (in ",'Introducerea datelor'!$D$26,")")</f>
        <v>Cheltuielile Cumulative (in €)</v>
      </c>
      <c r="E38" s="268"/>
      <c r="F38" s="284"/>
      <c r="G38" s="3"/>
      <c r="H38" s="3"/>
      <c r="I38" s="3"/>
      <c r="J38" s="101"/>
      <c r="K38" s="42"/>
      <c r="N38"/>
      <c r="O38"/>
      <c r="AE38" s="20"/>
      <c r="AF38" s="36"/>
    </row>
    <row r="39" spans="1:35" ht="27.75" customHeight="1">
      <c r="A39" s="3"/>
      <c r="B39" s="385" t="s">
        <v>469</v>
      </c>
      <c r="C39" s="380">
        <v>41173.67</v>
      </c>
      <c r="D39" s="386">
        <v>38685.25</v>
      </c>
      <c r="E39" s="282"/>
      <c r="F39" s="355"/>
      <c r="G39" s="356"/>
      <c r="H39" s="3"/>
      <c r="I39" s="3"/>
      <c r="J39" s="102"/>
      <c r="K39" s="43"/>
      <c r="N39"/>
      <c r="O39"/>
      <c r="AE39" s="20"/>
      <c r="AF39" s="36"/>
    </row>
    <row r="40" spans="1:35" ht="27.75" customHeight="1">
      <c r="A40" s="3"/>
      <c r="B40" s="455" t="s">
        <v>470</v>
      </c>
      <c r="C40" s="380">
        <v>2175607.9900000002</v>
      </c>
      <c r="D40" s="386">
        <v>2170882.16</v>
      </c>
      <c r="E40" s="15"/>
      <c r="F40" s="355"/>
      <c r="G40" s="356"/>
      <c r="H40" s="3"/>
      <c r="I40" s="3"/>
      <c r="J40" s="3"/>
      <c r="K40" s="43"/>
      <c r="N40"/>
      <c r="O40"/>
      <c r="AE40" s="20"/>
      <c r="AF40" s="36"/>
    </row>
    <row r="41" spans="1:35" ht="30">
      <c r="A41" s="3"/>
      <c r="B41" s="385" t="s">
        <v>471</v>
      </c>
      <c r="C41" s="381">
        <v>70577.929999999993</v>
      </c>
      <c r="D41" s="386">
        <v>65517.15</v>
      </c>
      <c r="E41" s="15"/>
      <c r="F41" s="357"/>
      <c r="G41" s="3"/>
      <c r="H41" s="3"/>
      <c r="I41" s="3"/>
      <c r="J41" s="3"/>
      <c r="K41" s="43"/>
      <c r="N41"/>
      <c r="O41"/>
      <c r="AE41" s="20"/>
      <c r="AF41" s="36"/>
    </row>
    <row r="42" spans="1:35" ht="15" customHeight="1">
      <c r="A42" s="3"/>
      <c r="B42" s="385" t="s">
        <v>472</v>
      </c>
      <c r="C42" s="380">
        <v>415851.41</v>
      </c>
      <c r="D42" s="386">
        <v>420175.11</v>
      </c>
      <c r="E42" s="15"/>
      <c r="F42" s="354"/>
      <c r="G42" s="3"/>
      <c r="H42" s="3"/>
      <c r="I42" s="3"/>
      <c r="J42" s="3"/>
      <c r="K42" s="20"/>
      <c r="N42"/>
      <c r="O42"/>
      <c r="AE42" s="20"/>
      <c r="AF42" s="36"/>
    </row>
    <row r="43" spans="1:35" ht="15.75" customHeight="1">
      <c r="A43" s="3"/>
      <c r="B43" s="387" t="s">
        <v>473</v>
      </c>
      <c r="C43" s="381" t="s">
        <v>317</v>
      </c>
      <c r="D43" s="386">
        <v>401563.73</v>
      </c>
      <c r="E43" s="15"/>
      <c r="F43" s="283"/>
      <c r="G43" s="3"/>
      <c r="H43" s="3"/>
      <c r="I43" s="3"/>
      <c r="J43" s="3"/>
      <c r="K43" s="20"/>
      <c r="N43"/>
      <c r="O43"/>
      <c r="AE43" s="20"/>
      <c r="AF43" s="36"/>
    </row>
    <row r="44" spans="1:35">
      <c r="A44" s="3"/>
      <c r="B44" s="387" t="s">
        <v>510</v>
      </c>
      <c r="C44" s="381">
        <v>509477</v>
      </c>
      <c r="D44" s="386">
        <v>32534.17</v>
      </c>
      <c r="E44" s="15"/>
      <c r="F44" s="406"/>
      <c r="G44" s="3"/>
      <c r="H44" s="3"/>
      <c r="I44" s="3"/>
      <c r="J44" s="3"/>
      <c r="K44" s="20"/>
      <c r="N44"/>
      <c r="O44"/>
      <c r="AE44" s="20"/>
      <c r="AF44" s="36"/>
    </row>
    <row r="45" spans="1:35">
      <c r="A45" s="3"/>
      <c r="B45" s="387" t="s">
        <v>511</v>
      </c>
      <c r="C45" s="381"/>
      <c r="D45" s="386">
        <v>372876.27</v>
      </c>
      <c r="E45" s="15"/>
      <c r="F45" s="283"/>
      <c r="G45" s="15"/>
      <c r="H45" s="15"/>
      <c r="I45" s="15"/>
      <c r="J45" s="15"/>
      <c r="K45" s="20"/>
      <c r="N45"/>
      <c r="O45"/>
      <c r="AE45" s="36"/>
      <c r="AF45" s="36"/>
    </row>
    <row r="46" spans="1:35" ht="15.75" thickBot="1">
      <c r="A46" s="3"/>
      <c r="B46" s="388"/>
      <c r="C46" s="380"/>
      <c r="D46" s="386"/>
      <c r="E46" s="15"/>
      <c r="F46" s="15"/>
      <c r="G46" s="15"/>
      <c r="H46" s="15"/>
      <c r="I46" s="15"/>
      <c r="J46" s="15"/>
      <c r="K46" s="20"/>
      <c r="N46"/>
      <c r="O46"/>
      <c r="AE46" s="36"/>
      <c r="AF46" s="36"/>
    </row>
    <row r="47" spans="1:35" ht="15.75" thickBot="1">
      <c r="A47" s="3"/>
      <c r="B47" s="389" t="s">
        <v>43</v>
      </c>
      <c r="C47" s="553">
        <f>SUM(C39:C46)</f>
        <v>3212688.0000000005</v>
      </c>
      <c r="D47" s="390">
        <f>SUM(D39:D46)</f>
        <v>3502233.84</v>
      </c>
      <c r="E47" s="281"/>
      <c r="F47" s="763" t="str">
        <f ca="1">+IF((ROUND(C47,0)=ROUND(OFFSET(B33,0,RIGHT('Introducerea datelor'!$C$16,LEN('Introducerea datelor'!$C$16)-1),1,1),0)),"OK: Datele coincid","Atentie: Datele nu coincid")</f>
        <v>OK: Datele coincid</v>
      </c>
      <c r="G47" s="764"/>
      <c r="H47" s="764"/>
      <c r="I47" s="765"/>
      <c r="J47" s="199"/>
      <c r="K47" s="199"/>
      <c r="L47" s="199"/>
      <c r="M47" s="208"/>
      <c r="N47" s="209"/>
      <c r="O47" s="207"/>
      <c r="P47" s="205"/>
      <c r="AE47" s="36"/>
      <c r="AF47" s="36"/>
    </row>
    <row r="48" spans="1:35">
      <c r="A48" s="3"/>
      <c r="B48" s="3"/>
      <c r="C48" s="199"/>
      <c r="D48" s="199"/>
      <c r="E48" s="265"/>
      <c r="F48" s="199"/>
      <c r="G48" s="199"/>
      <c r="H48" s="199"/>
      <c r="I48" s="199"/>
      <c r="J48" s="199"/>
      <c r="K48" s="199"/>
      <c r="L48" s="199"/>
      <c r="M48" s="199"/>
      <c r="N48" s="199"/>
      <c r="O48" s="199"/>
      <c r="P48" s="208"/>
      <c r="Q48" s="209"/>
      <c r="R48" s="207"/>
      <c r="S48" s="205"/>
    </row>
    <row r="49" spans="1:35" ht="18.75">
      <c r="A49" s="3"/>
      <c r="B49" s="90" t="s">
        <v>321</v>
      </c>
      <c r="C49" s="3"/>
      <c r="D49" s="3"/>
      <c r="E49" s="3"/>
      <c r="F49" s="3"/>
      <c r="G49" s="3"/>
      <c r="H49" s="3"/>
      <c r="I49" s="3"/>
      <c r="J49" s="3"/>
      <c r="K49" s="3"/>
      <c r="L49" s="3"/>
      <c r="M49" s="3"/>
      <c r="P49" s="205"/>
      <c r="Q49" s="206"/>
      <c r="R49" s="207">
        <f>+J33</f>
        <v>0</v>
      </c>
      <c r="S49" s="205"/>
    </row>
    <row r="50" spans="1:35" ht="15.75" thickBot="1">
      <c r="A50" s="3"/>
      <c r="B50" s="3"/>
      <c r="C50" s="3"/>
      <c r="D50" s="3"/>
      <c r="E50" s="3"/>
      <c r="F50" s="3"/>
      <c r="G50" s="3"/>
      <c r="H50" s="3"/>
      <c r="I50" s="3"/>
      <c r="J50" s="3"/>
      <c r="K50" s="3"/>
      <c r="L50" s="3"/>
      <c r="M50" s="3"/>
      <c r="P50" s="205"/>
      <c r="Q50" s="206"/>
      <c r="R50" s="207">
        <f>+K33</f>
        <v>0</v>
      </c>
      <c r="S50" s="205"/>
    </row>
    <row r="51" spans="1:35" ht="35.25" customHeight="1">
      <c r="A51" s="3"/>
      <c r="B51" s="287"/>
      <c r="C51" s="288" t="s">
        <v>322</v>
      </c>
      <c r="D51" s="288" t="s">
        <v>323</v>
      </c>
      <c r="E51" s="404" t="str">
        <f>CONCATENATE("Total Cheltuit și debursat (in ",D26,")")</f>
        <v>Total Cheltuit și debursat (in €)</v>
      </c>
      <c r="F51" s="3"/>
      <c r="G51" s="291"/>
      <c r="H51" s="284"/>
      <c r="I51" s="271"/>
      <c r="J51" s="271"/>
      <c r="K51" s="271"/>
      <c r="L51" s="271"/>
      <c r="M51" s="22"/>
      <c r="N51" s="22"/>
      <c r="O51" s="205"/>
      <c r="P51" s="206"/>
      <c r="Q51" s="207">
        <f>+M33</f>
        <v>0</v>
      </c>
      <c r="R51" s="205"/>
      <c r="AH51" s="20"/>
    </row>
    <row r="52" spans="1:35">
      <c r="A52" s="3"/>
      <c r="B52" s="285" t="s">
        <v>401</v>
      </c>
      <c r="C52" s="374">
        <v>2621981</v>
      </c>
      <c r="D52" s="375">
        <v>499061.26</v>
      </c>
      <c r="E52" s="477">
        <f>+D52+C52</f>
        <v>3121042.26</v>
      </c>
      <c r="F52" s="3"/>
      <c r="G52" s="97"/>
      <c r="H52" s="289"/>
      <c r="I52" s="96"/>
      <c r="J52" s="202"/>
      <c r="K52" s="203"/>
      <c r="L52" s="98"/>
      <c r="M52" s="37"/>
      <c r="N52" s="37"/>
      <c r="O52" s="205"/>
      <c r="P52" s="205"/>
      <c r="Q52" s="205"/>
      <c r="R52" s="205"/>
      <c r="AH52" s="20"/>
    </row>
    <row r="53" spans="1:35">
      <c r="A53" s="3"/>
      <c r="B53" s="285" t="s">
        <v>402</v>
      </c>
      <c r="C53" s="374">
        <v>2406303.2599999998</v>
      </c>
      <c r="D53" s="374">
        <v>1095930.58</v>
      </c>
      <c r="E53" s="477">
        <f>+D53+C53</f>
        <v>3502233.84</v>
      </c>
      <c r="F53" s="3"/>
      <c r="G53" s="250"/>
      <c r="H53" s="289"/>
      <c r="I53" s="96"/>
      <c r="J53" s="202"/>
      <c r="K53" s="202"/>
      <c r="L53" s="98"/>
      <c r="M53" s="38"/>
      <c r="N53" s="38"/>
      <c r="O53" s="205"/>
      <c r="P53" s="205"/>
      <c r="Q53" s="205"/>
      <c r="R53" s="205"/>
      <c r="AH53" s="20"/>
    </row>
    <row r="54" spans="1:35">
      <c r="A54" s="3"/>
      <c r="B54" s="285" t="s">
        <v>403</v>
      </c>
      <c r="C54" s="374">
        <v>0</v>
      </c>
      <c r="D54" s="374">
        <v>0</v>
      </c>
      <c r="E54" s="477">
        <f>+D54+C54</f>
        <v>0</v>
      </c>
      <c r="F54" s="3"/>
      <c r="G54" s="97"/>
      <c r="H54" s="289"/>
      <c r="I54" s="96"/>
      <c r="J54" s="202"/>
      <c r="K54" s="203"/>
      <c r="L54" s="98"/>
      <c r="M54" s="37"/>
      <c r="N54" s="37"/>
      <c r="O54"/>
      <c r="AH54" s="20"/>
    </row>
    <row r="55" spans="1:35" ht="15.75" thickBot="1">
      <c r="A55" s="3"/>
      <c r="B55" s="286" t="s">
        <v>404</v>
      </c>
      <c r="C55" s="376">
        <v>0</v>
      </c>
      <c r="D55" s="376">
        <v>0</v>
      </c>
      <c r="E55" s="478">
        <f>+D55+C55</f>
        <v>0</v>
      </c>
      <c r="F55" s="3"/>
      <c r="G55" s="251"/>
      <c r="H55" s="29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9"/>
      <c r="E57" s="3"/>
      <c r="F57" s="3"/>
      <c r="G57" s="3"/>
      <c r="H57" s="3"/>
      <c r="I57" s="3"/>
      <c r="J57" s="3"/>
      <c r="K57" s="3"/>
      <c r="L57" s="3"/>
      <c r="M57" s="3"/>
    </row>
    <row r="58" spans="1:35" ht="18.75">
      <c r="A58" s="3"/>
      <c r="B58" s="90" t="s">
        <v>324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7" t="s">
        <v>325</v>
      </c>
      <c r="C60" s="698"/>
      <c r="D60" s="699"/>
      <c r="E60" s="3"/>
      <c r="F60" s="3"/>
      <c r="G60" s="3"/>
      <c r="H60" s="3"/>
      <c r="I60" s="3"/>
      <c r="J60" s="3"/>
      <c r="K60" s="3"/>
      <c r="L60" s="3"/>
      <c r="M60" s="36"/>
      <c r="O60"/>
    </row>
    <row r="61" spans="1:35">
      <c r="A61" s="3"/>
      <c r="B61" s="103"/>
      <c r="C61" s="293" t="s">
        <v>326</v>
      </c>
      <c r="D61" s="294" t="s">
        <v>327</v>
      </c>
      <c r="E61" s="3"/>
      <c r="F61" s="3"/>
      <c r="G61" s="3"/>
      <c r="H61" s="3"/>
      <c r="I61" s="3"/>
      <c r="J61" s="3"/>
      <c r="K61" s="3"/>
      <c r="L61" s="3"/>
      <c r="M61" s="36"/>
      <c r="O61"/>
    </row>
    <row r="62" spans="1:35">
      <c r="A62" s="3"/>
      <c r="B62" s="104" t="s">
        <v>328</v>
      </c>
      <c r="C62" s="358">
        <v>60</v>
      </c>
      <c r="D62" s="359">
        <v>60</v>
      </c>
      <c r="E62" s="3"/>
      <c r="F62" s="3"/>
      <c r="G62" s="3"/>
      <c r="H62" s="3"/>
      <c r="I62" s="3"/>
      <c r="J62" s="3"/>
      <c r="K62" s="3"/>
      <c r="L62" s="3"/>
      <c r="M62" s="36"/>
      <c r="O62"/>
    </row>
    <row r="63" spans="1:35">
      <c r="A63" s="3"/>
      <c r="B63" s="292" t="s">
        <v>329</v>
      </c>
      <c r="C63" s="358">
        <v>0</v>
      </c>
      <c r="D63" s="359">
        <v>0</v>
      </c>
      <c r="E63" s="3"/>
      <c r="F63" s="3"/>
      <c r="G63" s="3"/>
      <c r="H63" s="289"/>
      <c r="I63" s="289"/>
      <c r="J63" s="3"/>
      <c r="K63" s="3"/>
      <c r="L63" s="3"/>
      <c r="M63" s="36"/>
      <c r="O63"/>
    </row>
    <row r="64" spans="1:35" ht="15.75" thickBot="1">
      <c r="A64" s="3"/>
      <c r="B64" s="105" t="s">
        <v>330</v>
      </c>
      <c r="C64" s="360">
        <v>0</v>
      </c>
      <c r="D64" s="361">
        <v>0</v>
      </c>
      <c r="E64" s="3"/>
      <c r="F64" s="3"/>
      <c r="G64" s="3"/>
      <c r="H64" s="289"/>
      <c r="I64" s="28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0"/>
      <c r="M66" s="3"/>
      <c r="AC66" s="19"/>
      <c r="AD66" s="19"/>
    </row>
    <row r="67" spans="1:30" ht="19.5" thickBot="1">
      <c r="A67" s="3"/>
      <c r="B67" s="106" t="s">
        <v>331</v>
      </c>
      <c r="C67" s="107"/>
      <c r="D67" s="107"/>
      <c r="E67" s="107"/>
      <c r="F67" s="107"/>
      <c r="G67" s="107"/>
      <c r="H67" s="315" t="s">
        <v>332</v>
      </c>
      <c r="I67" s="107"/>
      <c r="J67" s="108"/>
      <c r="K67" s="108"/>
      <c r="L67" s="401"/>
      <c r="M67" s="40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333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26"/>
      <c r="C71" s="727"/>
      <c r="D71" s="113" t="s">
        <v>334</v>
      </c>
      <c r="E71" s="114" t="s">
        <v>335</v>
      </c>
      <c r="F71" s="114" t="s">
        <v>336</v>
      </c>
      <c r="G71" s="115" t="s">
        <v>43</v>
      </c>
      <c r="H71" s="300"/>
      <c r="I71" s="301"/>
      <c r="J71" s="15"/>
      <c r="K71" s="2"/>
      <c r="L71" s="2"/>
      <c r="M71" s="2"/>
      <c r="N71" s="20"/>
      <c r="O71" s="19"/>
      <c r="P71" s="19"/>
      <c r="Q71" s="19"/>
      <c r="R71" s="19"/>
      <c r="S71" s="19"/>
    </row>
    <row r="72" spans="1:30">
      <c r="A72" s="3"/>
      <c r="B72" s="719" t="s">
        <v>337</v>
      </c>
      <c r="C72" s="720"/>
      <c r="D72" s="253">
        <v>1</v>
      </c>
      <c r="E72" s="253">
        <v>1</v>
      </c>
      <c r="F72" s="253"/>
      <c r="G72" s="117">
        <f>SUM(D72:F72)</f>
        <v>2</v>
      </c>
      <c r="H72" s="283"/>
      <c r="I72" s="299"/>
      <c r="J72" s="299"/>
      <c r="K72" s="2"/>
      <c r="L72" s="2"/>
      <c r="M72" s="2"/>
      <c r="N72" s="20"/>
      <c r="O72" s="19"/>
      <c r="P72" s="19"/>
      <c r="Q72" s="19"/>
      <c r="R72" s="19"/>
      <c r="S72" s="19"/>
    </row>
    <row r="73" spans="1:30" ht="15.75" thickBot="1">
      <c r="A73" s="3"/>
      <c r="B73" s="753" t="s">
        <v>338</v>
      </c>
      <c r="C73" s="754"/>
      <c r="D73" s="254"/>
      <c r="E73" s="254"/>
      <c r="F73" s="254">
        <v>1</v>
      </c>
      <c r="G73" s="117">
        <f>SUM(D73:F73)</f>
        <v>1</v>
      </c>
      <c r="H73" s="28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66" t="s">
        <v>339</v>
      </c>
      <c r="D78" s="466" t="s">
        <v>340</v>
      </c>
      <c r="E78" s="120" t="s">
        <v>341</v>
      </c>
      <c r="F78" s="15"/>
      <c r="G78" s="15"/>
      <c r="H78" s="15"/>
      <c r="I78" s="301"/>
      <c r="J78" s="2"/>
      <c r="K78" s="2"/>
      <c r="L78" s="2"/>
      <c r="M78" s="2"/>
      <c r="N78" s="19"/>
      <c r="O78" s="19"/>
      <c r="P78" s="19"/>
      <c r="S78" s="19"/>
    </row>
    <row r="79" spans="1:30" ht="15.75" thickBot="1">
      <c r="A79" s="3"/>
      <c r="B79" s="121" t="s">
        <v>438</v>
      </c>
      <c r="C79" s="345">
        <v>4.5</v>
      </c>
      <c r="D79" s="345">
        <v>4.5</v>
      </c>
      <c r="E79" s="346">
        <f>+C79-D79</f>
        <v>0</v>
      </c>
      <c r="F79" s="261"/>
      <c r="G79" s="266"/>
      <c r="H79" s="15"/>
      <c r="I79" s="299"/>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342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66" t="s">
        <v>344</v>
      </c>
      <c r="D83" s="466" t="s">
        <v>345</v>
      </c>
      <c r="E83" s="466" t="s">
        <v>346</v>
      </c>
      <c r="F83" s="147" t="s">
        <v>347</v>
      </c>
      <c r="G83" s="147" t="s">
        <v>348</v>
      </c>
      <c r="H83" s="267"/>
      <c r="I83" s="301"/>
      <c r="J83" s="2"/>
      <c r="K83" s="2"/>
      <c r="L83" s="2"/>
      <c r="M83" s="2"/>
      <c r="N83" s="19"/>
      <c r="O83" s="19"/>
      <c r="P83" s="19"/>
      <c r="S83" s="19"/>
    </row>
    <row r="84" spans="1:36" ht="15.75" thickBot="1">
      <c r="A84" s="3"/>
      <c r="B84" s="121" t="s">
        <v>92</v>
      </c>
      <c r="C84" s="345">
        <v>0</v>
      </c>
      <c r="D84" s="345">
        <v>0</v>
      </c>
      <c r="E84" s="345">
        <v>0</v>
      </c>
      <c r="F84" s="345">
        <v>0</v>
      </c>
      <c r="G84" s="347">
        <v>0</v>
      </c>
      <c r="H84" s="302"/>
      <c r="I84" s="283"/>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343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349</v>
      </c>
      <c r="D88" s="122" t="s">
        <v>350</v>
      </c>
      <c r="E88" s="123" t="s">
        <v>351</v>
      </c>
      <c r="F88" s="2"/>
      <c r="G88" s="2"/>
      <c r="H88" s="2"/>
      <c r="I88" s="2"/>
      <c r="J88" s="19"/>
      <c r="K88" s="19"/>
      <c r="L88" s="19"/>
      <c r="N88"/>
      <c r="O88" s="19"/>
      <c r="AG88" s="36"/>
      <c r="AJ88"/>
    </row>
    <row r="89" spans="1:36">
      <c r="A89" s="3"/>
      <c r="B89" s="116" t="s">
        <v>291</v>
      </c>
      <c r="C89" s="253"/>
      <c r="D89" s="255"/>
      <c r="E89" s="303">
        <f>C89-D89</f>
        <v>0</v>
      </c>
      <c r="F89" s="15"/>
      <c r="G89" s="2"/>
      <c r="H89" s="2"/>
      <c r="I89" s="2"/>
      <c r="J89" s="19"/>
      <c r="K89" s="19"/>
      <c r="L89" s="19"/>
      <c r="N89"/>
      <c r="O89" s="19"/>
      <c r="AG89" s="36"/>
      <c r="AJ89"/>
    </row>
    <row r="90" spans="1:36" ht="15.75" thickBot="1">
      <c r="A90" s="3"/>
      <c r="B90" s="118" t="s">
        <v>292</v>
      </c>
      <c r="C90" s="254"/>
      <c r="D90" s="304"/>
      <c r="E90" s="44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352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7"/>
      <c r="C94" s="377" t="s">
        <v>513</v>
      </c>
      <c r="D94" s="377" t="s">
        <v>512</v>
      </c>
      <c r="E94" s="377" t="s">
        <v>514</v>
      </c>
      <c r="F94" s="377" t="s">
        <v>515</v>
      </c>
      <c r="G94" s="377" t="s">
        <v>516</v>
      </c>
      <c r="H94" s="377" t="s">
        <v>86</v>
      </c>
      <c r="I94" s="362" t="s">
        <v>87</v>
      </c>
      <c r="J94" s="362" t="s">
        <v>88</v>
      </c>
      <c r="K94" s="362" t="s">
        <v>89</v>
      </c>
      <c r="L94" s="362" t="s">
        <v>90</v>
      </c>
      <c r="M94" s="362" t="s">
        <v>91</v>
      </c>
      <c r="N94" s="363" t="s">
        <v>246</v>
      </c>
      <c r="O94" s="20"/>
      <c r="P94" s="20"/>
      <c r="S94" s="19"/>
    </row>
    <row r="95" spans="1:36" ht="15" customHeight="1">
      <c r="A95" s="3"/>
      <c r="B95" s="365" t="s">
        <v>353</v>
      </c>
      <c r="C95" s="348">
        <v>840</v>
      </c>
      <c r="D95" s="348">
        <v>482646.77</v>
      </c>
      <c r="E95" s="348">
        <v>62174.83</v>
      </c>
      <c r="F95" s="348">
        <v>709296.94</v>
      </c>
      <c r="G95" s="348">
        <v>170272.73</v>
      </c>
      <c r="H95" s="348">
        <v>653461.96</v>
      </c>
      <c r="I95" s="348"/>
      <c r="J95" s="348"/>
      <c r="K95" s="348"/>
      <c r="L95" s="348"/>
      <c r="M95" s="348"/>
      <c r="N95" s="443"/>
      <c r="O95" s="20"/>
      <c r="P95" s="20"/>
      <c r="S95" s="19"/>
    </row>
    <row r="96" spans="1:36" ht="15" customHeight="1">
      <c r="A96" s="3"/>
      <c r="B96" s="365" t="s">
        <v>354</v>
      </c>
      <c r="C96" s="348">
        <v>120322.08</v>
      </c>
      <c r="D96" s="348">
        <v>375035.85</v>
      </c>
      <c r="E96" s="348">
        <v>74741.37</v>
      </c>
      <c r="F96" s="348">
        <v>1009021</v>
      </c>
      <c r="G96" s="348">
        <v>227894.72</v>
      </c>
      <c r="H96" s="348">
        <v>331829.93</v>
      </c>
      <c r="I96" s="348"/>
      <c r="J96" s="348"/>
      <c r="K96" s="348"/>
      <c r="L96" s="348"/>
      <c r="M96" s="348"/>
      <c r="N96" s="443"/>
      <c r="O96" s="20"/>
      <c r="P96" s="20"/>
      <c r="S96" s="19"/>
    </row>
    <row r="97" spans="1:19" ht="15" customHeight="1">
      <c r="A97" s="3"/>
      <c r="B97" s="365" t="s">
        <v>355</v>
      </c>
      <c r="C97" s="348">
        <v>71447.17</v>
      </c>
      <c r="D97" s="348">
        <v>756687</v>
      </c>
      <c r="E97" s="348">
        <v>62217.66</v>
      </c>
      <c r="F97" s="348">
        <v>709296.84</v>
      </c>
      <c r="G97" s="348">
        <v>158305.48000000001</v>
      </c>
      <c r="H97" s="348">
        <v>693173.88</v>
      </c>
      <c r="I97" s="348"/>
      <c r="J97" s="348"/>
      <c r="K97" s="348"/>
      <c r="L97" s="348"/>
      <c r="M97" s="348"/>
      <c r="N97" s="443"/>
      <c r="O97" s="20"/>
      <c r="P97" s="20"/>
      <c r="S97" s="19"/>
    </row>
    <row r="98" spans="1:19" ht="15" customHeight="1">
      <c r="A98" s="3"/>
      <c r="B98" s="306" t="s">
        <v>356</v>
      </c>
      <c r="C98" s="349">
        <f>+C95</f>
        <v>840</v>
      </c>
      <c r="D98" s="349">
        <f t="shared" ref="D98:N98" si="3">+C98+D95</f>
        <v>483486.77</v>
      </c>
      <c r="E98" s="349">
        <f>+D98+E95</f>
        <v>545661.6</v>
      </c>
      <c r="F98" s="349">
        <f t="shared" si="3"/>
        <v>1254958.54</v>
      </c>
      <c r="G98" s="349">
        <f t="shared" si="3"/>
        <v>1425231.27</v>
      </c>
      <c r="H98" s="349">
        <f t="shared" si="3"/>
        <v>2078693.23</v>
      </c>
      <c r="I98" s="349">
        <f t="shared" si="3"/>
        <v>2078693.23</v>
      </c>
      <c r="J98" s="349">
        <f t="shared" si="3"/>
        <v>2078693.23</v>
      </c>
      <c r="K98" s="349">
        <f t="shared" si="3"/>
        <v>2078693.23</v>
      </c>
      <c r="L98" s="349">
        <f t="shared" si="3"/>
        <v>2078693.23</v>
      </c>
      <c r="M98" s="349">
        <f t="shared" si="3"/>
        <v>2078693.23</v>
      </c>
      <c r="N98" s="444">
        <f t="shared" si="3"/>
        <v>2078693.23</v>
      </c>
      <c r="O98" s="20"/>
      <c r="P98" s="20"/>
      <c r="S98" s="19"/>
    </row>
    <row r="99" spans="1:19" ht="15" customHeight="1">
      <c r="A99" s="3"/>
      <c r="B99" s="306" t="s">
        <v>357</v>
      </c>
      <c r="C99" s="349">
        <f>+C96</f>
        <v>120322.08</v>
      </c>
      <c r="D99" s="349">
        <f t="shared" ref="D99:N99" si="4">+C99+D96</f>
        <v>495357.93</v>
      </c>
      <c r="E99" s="349">
        <f>+D99+E96</f>
        <v>570099.30000000005</v>
      </c>
      <c r="F99" s="349">
        <f t="shared" si="4"/>
        <v>1579120.3</v>
      </c>
      <c r="G99" s="349">
        <f t="shared" si="4"/>
        <v>1807015.02</v>
      </c>
      <c r="H99" s="349">
        <f t="shared" si="4"/>
        <v>2138844.9500000002</v>
      </c>
      <c r="I99" s="349">
        <f t="shared" si="4"/>
        <v>2138844.9500000002</v>
      </c>
      <c r="J99" s="349">
        <f t="shared" si="4"/>
        <v>2138844.9500000002</v>
      </c>
      <c r="K99" s="349">
        <f t="shared" si="4"/>
        <v>2138844.9500000002</v>
      </c>
      <c r="L99" s="349">
        <f t="shared" si="4"/>
        <v>2138844.9500000002</v>
      </c>
      <c r="M99" s="349">
        <f t="shared" si="4"/>
        <v>2138844.9500000002</v>
      </c>
      <c r="N99" s="444">
        <f t="shared" si="4"/>
        <v>2138844.9500000002</v>
      </c>
      <c r="O99" s="20"/>
      <c r="P99" s="20"/>
      <c r="S99" s="19"/>
    </row>
    <row r="100" spans="1:19" ht="15.75" thickBot="1">
      <c r="A100" s="3"/>
      <c r="B100" s="439" t="s">
        <v>358</v>
      </c>
      <c r="C100" s="440">
        <f>+C97</f>
        <v>71447.17</v>
      </c>
      <c r="D100" s="441">
        <f t="shared" ref="D100:N100" si="5">+C100+D97</f>
        <v>828134.17</v>
      </c>
      <c r="E100" s="441">
        <f>+D100+E97</f>
        <v>890351.83000000007</v>
      </c>
      <c r="F100" s="441">
        <f t="shared" si="5"/>
        <v>1599648.67</v>
      </c>
      <c r="G100" s="441">
        <f t="shared" si="5"/>
        <v>1757954.15</v>
      </c>
      <c r="H100" s="441">
        <f t="shared" si="5"/>
        <v>2451128.0299999998</v>
      </c>
      <c r="I100" s="441">
        <f t="shared" si="5"/>
        <v>2451128.0299999998</v>
      </c>
      <c r="J100" s="441">
        <f t="shared" si="5"/>
        <v>2451128.0299999998</v>
      </c>
      <c r="K100" s="441">
        <f t="shared" si="5"/>
        <v>2451128.0299999998</v>
      </c>
      <c r="L100" s="441">
        <f t="shared" si="5"/>
        <v>2451128.0299999998</v>
      </c>
      <c r="M100" s="441">
        <f t="shared" si="5"/>
        <v>2451128.0299999998</v>
      </c>
      <c r="N100" s="445">
        <f t="shared" si="5"/>
        <v>2451128.0299999998</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508</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hidden="1">
      <c r="A105" s="3"/>
      <c r="B105" s="110" t="s">
        <v>359</v>
      </c>
      <c r="C105" s="3"/>
      <c r="D105" s="3"/>
      <c r="E105" s="3"/>
      <c r="F105" s="3"/>
      <c r="G105" s="3"/>
      <c r="H105" s="3"/>
      <c r="I105" s="15"/>
      <c r="J105" s="15"/>
      <c r="K105" s="15"/>
      <c r="L105" s="15"/>
      <c r="M105" s="15"/>
      <c r="N105" s="20"/>
      <c r="O105" s="20"/>
      <c r="P105" s="20"/>
    </row>
    <row r="106" spans="1:19" ht="15.75" hidden="1" thickBot="1">
      <c r="A106" s="3"/>
      <c r="B106" s="3"/>
      <c r="C106" s="15"/>
      <c r="D106" s="15"/>
      <c r="E106" s="15"/>
      <c r="F106" s="15"/>
      <c r="G106" s="2"/>
      <c r="H106" s="2"/>
      <c r="I106" s="2"/>
      <c r="J106" s="15"/>
      <c r="K106" s="2"/>
      <c r="L106" s="15"/>
      <c r="M106" s="15"/>
      <c r="N106" s="20"/>
      <c r="O106" s="20"/>
      <c r="P106" s="20"/>
      <c r="Q106" s="19"/>
      <c r="S106" s="20"/>
    </row>
    <row r="107" spans="1:19" ht="90.75" hidden="1" customHeight="1">
      <c r="A107" s="3"/>
      <c r="B107" s="307" t="s">
        <v>360</v>
      </c>
      <c r="C107" s="308" t="s">
        <v>361</v>
      </c>
      <c r="D107" s="310" t="s">
        <v>362</v>
      </c>
      <c r="E107" s="310" t="s">
        <v>363</v>
      </c>
      <c r="F107" s="309" t="s">
        <v>364</v>
      </c>
      <c r="G107" s="309" t="s">
        <v>365</v>
      </c>
      <c r="H107" s="310" t="s">
        <v>366</v>
      </c>
      <c r="I107" s="310" t="s">
        <v>367</v>
      </c>
      <c r="J107" s="310" t="s">
        <v>368</v>
      </c>
      <c r="K107" s="311" t="s">
        <v>369</v>
      </c>
      <c r="L107" s="2"/>
      <c r="M107" s="20"/>
      <c r="N107" s="20"/>
      <c r="O107" s="20"/>
      <c r="P107" s="19"/>
      <c r="R107" s="20"/>
    </row>
    <row r="108" spans="1:19" hidden="1">
      <c r="A108" s="3"/>
      <c r="B108" s="707" t="s">
        <v>289</v>
      </c>
      <c r="C108" s="392" t="s">
        <v>289</v>
      </c>
      <c r="D108" s="393"/>
      <c r="E108" s="394" t="str">
        <f>IF(ISBLANK(D108),"",D108*30)</f>
        <v/>
      </c>
      <c r="F108" s="350"/>
      <c r="G108" s="351" t="str">
        <f>IF(AND(E108&gt;0,F108&gt;0),(F108*E108),"")</f>
        <v/>
      </c>
      <c r="H108" s="350"/>
      <c r="I108" s="407" t="str">
        <f>IF(AND(G108&gt;0,H108&gt;0),H108/G108,"")</f>
        <v/>
      </c>
      <c r="J108" s="395"/>
      <c r="K108" s="446" t="str">
        <f>IF(AND(I108&gt;0,J108&gt;0),I108-J108,"")</f>
        <v/>
      </c>
      <c r="L108" s="2"/>
      <c r="M108" s="20"/>
      <c r="N108" s="20"/>
      <c r="O108" s="20"/>
      <c r="P108" s="19"/>
      <c r="R108" s="20"/>
    </row>
    <row r="109" spans="1:19" hidden="1">
      <c r="A109" s="3"/>
      <c r="B109" s="708"/>
      <c r="C109" s="392" t="s">
        <v>289</v>
      </c>
      <c r="D109" s="393"/>
      <c r="E109" s="394" t="str">
        <f>IF(ISBLANK(D109),"",D109*30)</f>
        <v/>
      </c>
      <c r="F109" s="350"/>
      <c r="G109" s="351" t="str">
        <f>IF(AND(E109&gt;0,F109&gt;0),(F109*E109),"")</f>
        <v/>
      </c>
      <c r="H109" s="350"/>
      <c r="I109" s="407" t="str">
        <f>IF(AND(G109&gt;0,H109&gt;0),H109/G109,"")</f>
        <v/>
      </c>
      <c r="J109" s="395"/>
      <c r="K109" s="446" t="str">
        <f>IF(AND(I109&gt;0,J109&gt;0),I109-J109,"")</f>
        <v/>
      </c>
      <c r="L109" s="2"/>
      <c r="M109" s="20"/>
      <c r="N109" s="20"/>
      <c r="O109" s="20"/>
      <c r="P109" s="19"/>
    </row>
    <row r="110" spans="1:19" hidden="1">
      <c r="A110" s="3"/>
      <c r="B110" s="708"/>
      <c r="C110" s="392" t="s">
        <v>289</v>
      </c>
      <c r="D110" s="393"/>
      <c r="E110" s="394" t="str">
        <f>IF(ISBLANK(D110),"",D110*30)</f>
        <v/>
      </c>
      <c r="F110" s="350"/>
      <c r="G110" s="351" t="str">
        <f>IF(AND(E110&gt;0,F110&gt;0),(F110*E110),"")</f>
        <v/>
      </c>
      <c r="H110" s="350"/>
      <c r="I110" s="407" t="str">
        <f>IF(AND(G110&gt;0,H110&gt;0),H110/G110,"")</f>
        <v/>
      </c>
      <c r="J110" s="395"/>
      <c r="K110" s="446" t="str">
        <f>IF(AND(I110&gt;0,J110&gt;0),I110-J110,"")</f>
        <v/>
      </c>
      <c r="L110" s="2"/>
      <c r="M110" s="20"/>
      <c r="N110" s="20"/>
      <c r="O110" s="20"/>
      <c r="P110" s="19"/>
      <c r="R110" s="20"/>
    </row>
    <row r="111" spans="1:19" ht="15.75" hidden="1" thickBot="1">
      <c r="A111" s="3"/>
      <c r="B111" s="709"/>
      <c r="C111" s="396" t="s">
        <v>289</v>
      </c>
      <c r="D111" s="397"/>
      <c r="E111" s="436" t="str">
        <f>IF(ISBLANK(D111),"",D111*30)</f>
        <v/>
      </c>
      <c r="F111" s="352"/>
      <c r="G111" s="437" t="str">
        <f>IF(AND(E111&gt;0,F111&gt;0),(F111*E111),"")</f>
        <v/>
      </c>
      <c r="H111" s="352"/>
      <c r="I111" s="438" t="str">
        <f>IF(AND(G111&gt;0,H111&gt;0),H111/G111,"")</f>
        <v/>
      </c>
      <c r="J111" s="398"/>
      <c r="K111" s="447"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7" t="s">
        <v>370</v>
      </c>
      <c r="C114" s="127"/>
      <c r="D114" s="127"/>
      <c r="E114" s="128"/>
      <c r="F114" s="128"/>
      <c r="G114" s="128"/>
      <c r="H114" s="248"/>
      <c r="I114" s="238"/>
      <c r="J114" s="327"/>
      <c r="K114" s="328" t="s">
        <v>288</v>
      </c>
      <c r="L114" s="128"/>
      <c r="M114" s="329"/>
      <c r="N114" s="330"/>
      <c r="O114" s="330"/>
      <c r="P114" s="399"/>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55" t="s">
        <v>371</v>
      </c>
      <c r="C116" s="756"/>
      <c r="D116" s="757"/>
      <c r="E116" s="314" t="s">
        <v>310</v>
      </c>
      <c r="F116" s="468" t="s">
        <v>453</v>
      </c>
      <c r="G116" s="242"/>
      <c r="H116" s="514" t="s">
        <v>447</v>
      </c>
      <c r="I116" s="514" t="s">
        <v>448</v>
      </c>
      <c r="J116" s="514" t="s">
        <v>449</v>
      </c>
      <c r="K116" s="514" t="s">
        <v>450</v>
      </c>
      <c r="L116" s="514" t="s">
        <v>451</v>
      </c>
      <c r="M116" s="529" t="s">
        <v>452</v>
      </c>
      <c r="N116" s="517"/>
      <c r="O116" s="517"/>
      <c r="P116" s="517"/>
      <c r="Q116" s="517"/>
      <c r="R116" s="517"/>
      <c r="S116" s="517"/>
      <c r="T116" s="64"/>
    </row>
    <row r="117" spans="1:20" ht="1.5" customHeight="1">
      <c r="A117" s="3"/>
      <c r="B117" s="423"/>
      <c r="C117" s="424"/>
      <c r="D117" s="424"/>
      <c r="E117" s="425"/>
      <c r="F117" s="426"/>
      <c r="G117" s="427"/>
      <c r="H117" s="428"/>
      <c r="I117" s="428"/>
      <c r="J117" s="428"/>
      <c r="K117" s="428"/>
      <c r="L117" s="428"/>
      <c r="M117" s="530"/>
      <c r="N117" s="517"/>
      <c r="O117" s="517"/>
      <c r="P117" s="517"/>
      <c r="Q117" s="517"/>
      <c r="R117" s="517"/>
      <c r="S117" s="517"/>
      <c r="T117" s="64"/>
    </row>
    <row r="118" spans="1:20" ht="27.75" customHeight="1">
      <c r="A118" s="687" t="s">
        <v>290</v>
      </c>
      <c r="B118" s="691" t="s">
        <v>413</v>
      </c>
      <c r="C118" s="692"/>
      <c r="D118" s="693"/>
      <c r="E118" s="761" t="s">
        <v>440</v>
      </c>
      <c r="F118" s="705" t="s">
        <v>441</v>
      </c>
      <c r="G118" s="486" t="s">
        <v>308</v>
      </c>
      <c r="H118" s="449"/>
      <c r="I118" s="549">
        <v>0.83</v>
      </c>
      <c r="J118" s="549"/>
      <c r="K118" s="549">
        <v>0.84</v>
      </c>
      <c r="L118" s="449"/>
      <c r="M118" s="449" t="s">
        <v>455</v>
      </c>
      <c r="N118" s="518"/>
      <c r="O118" s="519"/>
      <c r="P118" s="520"/>
      <c r="Q118" s="519"/>
      <c r="R118" s="518"/>
      <c r="S118" s="518"/>
      <c r="T118" s="64"/>
    </row>
    <row r="119" spans="1:20" ht="27.75" customHeight="1">
      <c r="A119" s="687"/>
      <c r="B119" s="694"/>
      <c r="C119" s="695"/>
      <c r="D119" s="696"/>
      <c r="E119" s="762"/>
      <c r="F119" s="706"/>
      <c r="G119" s="486" t="s">
        <v>309</v>
      </c>
      <c r="H119" s="473"/>
      <c r="I119" s="512">
        <v>0.84</v>
      </c>
      <c r="J119" s="512"/>
      <c r="K119" s="512">
        <v>0.83540000000000003</v>
      </c>
      <c r="L119" s="473"/>
      <c r="M119" s="512">
        <v>0.83330000000000004</v>
      </c>
      <c r="N119" s="521"/>
      <c r="O119" s="519"/>
      <c r="P119" s="520"/>
      <c r="Q119" s="522"/>
      <c r="R119" s="518"/>
      <c r="S119" s="518"/>
      <c r="T119" s="64"/>
    </row>
    <row r="120" spans="1:20" ht="27" customHeight="1">
      <c r="A120" s="687"/>
      <c r="B120" s="702" t="s">
        <v>412</v>
      </c>
      <c r="C120" s="703"/>
      <c r="D120" s="704"/>
      <c r="E120" s="710" t="s">
        <v>439</v>
      </c>
      <c r="F120" s="700" t="s">
        <v>441</v>
      </c>
      <c r="G120" s="464" t="s">
        <v>308</v>
      </c>
      <c r="H120" s="550">
        <v>0.95</v>
      </c>
      <c r="I120" s="550">
        <v>0.95</v>
      </c>
      <c r="J120" s="550">
        <v>0.95</v>
      </c>
      <c r="K120" s="550">
        <v>0.95</v>
      </c>
      <c r="L120" s="550">
        <v>0.95</v>
      </c>
      <c r="M120" s="550">
        <v>0.95</v>
      </c>
      <c r="N120" s="518"/>
      <c r="O120" s="519"/>
      <c r="P120" s="518"/>
      <c r="Q120" s="519"/>
      <c r="R120" s="518"/>
      <c r="S120" s="518"/>
      <c r="T120" s="64"/>
    </row>
    <row r="121" spans="1:20" ht="27" customHeight="1">
      <c r="A121" s="687"/>
      <c r="B121" s="702"/>
      <c r="C121" s="703"/>
      <c r="D121" s="704"/>
      <c r="E121" s="710"/>
      <c r="F121" s="701"/>
      <c r="G121" s="464" t="s">
        <v>309</v>
      </c>
      <c r="H121" s="551">
        <v>0.91</v>
      </c>
      <c r="I121" s="551">
        <v>0.97</v>
      </c>
      <c r="J121" s="551">
        <v>0.96</v>
      </c>
      <c r="K121" s="511">
        <v>0.97019999999999995</v>
      </c>
      <c r="L121" s="551">
        <v>0.98899999999999999</v>
      </c>
      <c r="M121" s="511">
        <v>0.93600000000000005</v>
      </c>
      <c r="N121" s="523"/>
      <c r="O121" s="522"/>
      <c r="P121" s="518"/>
      <c r="Q121" s="522"/>
      <c r="R121" s="518"/>
      <c r="S121" s="518"/>
      <c r="T121" s="64"/>
    </row>
    <row r="122" spans="1:20" ht="27" customHeight="1">
      <c r="A122" s="687"/>
      <c r="B122" s="711" t="s">
        <v>462</v>
      </c>
      <c r="C122" s="712"/>
      <c r="D122" s="713"/>
      <c r="E122" s="749" t="s">
        <v>463</v>
      </c>
      <c r="F122" s="750" t="s">
        <v>441</v>
      </c>
      <c r="G122" s="464" t="s">
        <v>308</v>
      </c>
      <c r="H122" s="534">
        <v>0.9</v>
      </c>
      <c r="I122" s="534">
        <v>0.9</v>
      </c>
      <c r="J122" s="534">
        <v>0.9</v>
      </c>
      <c r="K122" s="534">
        <v>0.9</v>
      </c>
      <c r="L122" s="534">
        <v>0.9</v>
      </c>
      <c r="M122" s="534">
        <v>0.9</v>
      </c>
      <c r="N122" s="523"/>
      <c r="O122" s="522"/>
      <c r="P122" s="518"/>
      <c r="Q122" s="522"/>
      <c r="R122" s="518"/>
      <c r="S122" s="518"/>
      <c r="T122" s="64"/>
    </row>
    <row r="123" spans="1:20" ht="27" customHeight="1">
      <c r="A123" s="687"/>
      <c r="B123" s="714"/>
      <c r="C123" s="712"/>
      <c r="D123" s="713"/>
      <c r="E123" s="749"/>
      <c r="F123" s="750"/>
      <c r="G123" s="464" t="s">
        <v>309</v>
      </c>
      <c r="H123" s="512">
        <v>0.99050000000000005</v>
      </c>
      <c r="I123" s="512">
        <v>1</v>
      </c>
      <c r="J123" s="512">
        <v>0.93200000000000005</v>
      </c>
      <c r="K123" s="512">
        <v>0.94</v>
      </c>
      <c r="L123" s="512">
        <v>0.96699999999999997</v>
      </c>
      <c r="M123" s="512">
        <v>0.94499999999999995</v>
      </c>
      <c r="N123" s="523"/>
      <c r="O123" s="522"/>
      <c r="P123" s="518"/>
      <c r="Q123" s="522"/>
      <c r="R123" s="518"/>
      <c r="S123" s="518"/>
      <c r="T123" s="64"/>
    </row>
    <row r="124" spans="1:20" s="488" customFormat="1" ht="27" customHeight="1">
      <c r="A124" s="687"/>
      <c r="B124" s="702" t="s">
        <v>442</v>
      </c>
      <c r="C124" s="703"/>
      <c r="D124" s="704"/>
      <c r="E124" s="710" t="s">
        <v>443</v>
      </c>
      <c r="F124" s="700" t="s">
        <v>441</v>
      </c>
      <c r="G124" s="486" t="s">
        <v>308</v>
      </c>
      <c r="H124" s="453"/>
      <c r="I124" s="510">
        <v>0.27</v>
      </c>
      <c r="J124" s="453"/>
      <c r="K124" s="510">
        <v>0.3</v>
      </c>
      <c r="L124" s="452"/>
      <c r="M124" s="510">
        <v>0.33</v>
      </c>
      <c r="N124" s="523"/>
      <c r="O124" s="523"/>
      <c r="P124" s="523"/>
      <c r="Q124" s="523"/>
      <c r="R124" s="523"/>
      <c r="S124" s="523"/>
      <c r="T124" s="487"/>
    </row>
    <row r="125" spans="1:20" s="488" customFormat="1" ht="27" customHeight="1">
      <c r="A125" s="687"/>
      <c r="B125" s="702"/>
      <c r="C125" s="703"/>
      <c r="D125" s="704"/>
      <c r="E125" s="710"/>
      <c r="F125" s="701"/>
      <c r="G125" s="486" t="s">
        <v>309</v>
      </c>
      <c r="H125" s="453"/>
      <c r="I125" s="511">
        <v>0.21</v>
      </c>
      <c r="J125" s="471"/>
      <c r="K125" s="511">
        <v>0.28179999999999999</v>
      </c>
      <c r="L125" s="471"/>
      <c r="M125" s="511">
        <v>0.28100000000000003</v>
      </c>
      <c r="N125" s="524"/>
      <c r="O125" s="524"/>
      <c r="P125" s="524"/>
      <c r="Q125" s="524"/>
      <c r="R125" s="523"/>
      <c r="S125" s="523"/>
      <c r="T125" s="487"/>
    </row>
    <row r="126" spans="1:20" ht="27" customHeight="1">
      <c r="A126" s="481"/>
      <c r="B126" s="711" t="s">
        <v>444</v>
      </c>
      <c r="C126" s="712"/>
      <c r="D126" s="713"/>
      <c r="E126" s="749" t="s">
        <v>445</v>
      </c>
      <c r="F126" s="750" t="s">
        <v>441</v>
      </c>
      <c r="G126" s="464" t="s">
        <v>308</v>
      </c>
      <c r="H126" s="449"/>
      <c r="I126" s="534" t="s">
        <v>456</v>
      </c>
      <c r="J126" s="449"/>
      <c r="K126" s="534" t="s">
        <v>457</v>
      </c>
      <c r="L126" s="449"/>
      <c r="M126" s="534" t="s">
        <v>458</v>
      </c>
      <c r="N126" s="518"/>
      <c r="O126" s="525"/>
      <c r="P126" s="518"/>
      <c r="Q126" s="518"/>
      <c r="R126" s="518"/>
      <c r="S126" s="518"/>
      <c r="T126" s="64"/>
    </row>
    <row r="127" spans="1:20" ht="27" customHeight="1">
      <c r="A127" s="481"/>
      <c r="B127" s="714"/>
      <c r="C127" s="712"/>
      <c r="D127" s="713"/>
      <c r="E127" s="749"/>
      <c r="F127" s="750"/>
      <c r="G127" s="464" t="s">
        <v>309</v>
      </c>
      <c r="H127" s="473"/>
      <c r="I127" s="512">
        <v>0.29399999999999998</v>
      </c>
      <c r="J127" s="473"/>
      <c r="K127" s="512">
        <v>0.42899999999999999</v>
      </c>
      <c r="L127" s="479"/>
      <c r="M127" s="512">
        <v>0.32900000000000001</v>
      </c>
      <c r="N127" s="523"/>
      <c r="O127" s="526"/>
      <c r="P127" s="518"/>
      <c r="Q127" s="521"/>
      <c r="R127" s="518"/>
      <c r="S127" s="518"/>
      <c r="T127" s="64"/>
    </row>
    <row r="128" spans="1:20" ht="27" customHeight="1">
      <c r="A128" s="3"/>
      <c r="B128" s="702" t="s">
        <v>454</v>
      </c>
      <c r="C128" s="703"/>
      <c r="D128" s="704"/>
      <c r="E128" s="710" t="s">
        <v>446</v>
      </c>
      <c r="F128" s="700" t="s">
        <v>441</v>
      </c>
      <c r="G128" s="486" t="s">
        <v>308</v>
      </c>
      <c r="H128" s="453"/>
      <c r="I128" s="510" t="s">
        <v>459</v>
      </c>
      <c r="J128" s="453"/>
      <c r="K128" s="510" t="s">
        <v>460</v>
      </c>
      <c r="L128" s="452"/>
      <c r="M128" s="510" t="s">
        <v>461</v>
      </c>
      <c r="N128" s="527"/>
      <c r="O128" s="527"/>
      <c r="P128" s="527"/>
      <c r="Q128" s="527"/>
      <c r="R128" s="518"/>
      <c r="S128" s="518"/>
      <c r="T128" s="64"/>
    </row>
    <row r="129" spans="1:21" ht="27" customHeight="1">
      <c r="A129" s="3"/>
      <c r="B129" s="702"/>
      <c r="C129" s="703"/>
      <c r="D129" s="704"/>
      <c r="E129" s="710"/>
      <c r="F129" s="701"/>
      <c r="G129" s="486" t="s">
        <v>309</v>
      </c>
      <c r="H129" s="453"/>
      <c r="I129" s="511">
        <v>0.79400000000000004</v>
      </c>
      <c r="J129" s="471"/>
      <c r="K129" s="511">
        <v>0.92700000000000005</v>
      </c>
      <c r="L129" s="471"/>
      <c r="M129" s="511">
        <v>0.79100000000000004</v>
      </c>
      <c r="N129" s="528"/>
      <c r="O129" s="528"/>
      <c r="P129" s="528"/>
      <c r="Q129" s="528"/>
      <c r="R129" s="518"/>
      <c r="S129" s="518"/>
      <c r="T129" s="64"/>
    </row>
    <row r="130" spans="1:21" ht="24" hidden="1" customHeight="1">
      <c r="A130" s="3"/>
      <c r="B130" s="702"/>
      <c r="C130" s="703"/>
      <c r="D130" s="704"/>
      <c r="E130" s="710"/>
      <c r="F130" s="700"/>
      <c r="G130" s="486"/>
      <c r="H130" s="453"/>
      <c r="I130" s="453"/>
      <c r="J130" s="453"/>
      <c r="K130" s="452"/>
      <c r="L130" s="453"/>
      <c r="M130" s="453"/>
      <c r="N130" s="515"/>
      <c r="O130" s="515"/>
      <c r="P130" s="515"/>
      <c r="Q130" s="515"/>
      <c r="R130" s="515"/>
      <c r="S130" s="516"/>
      <c r="T130" s="64"/>
    </row>
    <row r="131" spans="1:21" ht="24" hidden="1" customHeight="1">
      <c r="A131" s="3"/>
      <c r="B131" s="702"/>
      <c r="C131" s="703"/>
      <c r="D131" s="704"/>
      <c r="E131" s="710"/>
      <c r="F131" s="701"/>
      <c r="G131" s="486"/>
      <c r="H131" s="471"/>
      <c r="I131" s="471"/>
      <c r="J131" s="471"/>
      <c r="K131" s="474"/>
      <c r="L131" s="471"/>
      <c r="M131" s="471"/>
      <c r="N131" s="480"/>
      <c r="O131" s="480"/>
      <c r="P131" s="480"/>
      <c r="Q131" s="480"/>
      <c r="R131" s="239"/>
      <c r="S131" s="312"/>
      <c r="T131" s="64"/>
    </row>
    <row r="132" spans="1:21" ht="24" hidden="1" customHeight="1">
      <c r="A132" s="3"/>
      <c r="B132" s="714"/>
      <c r="C132" s="712"/>
      <c r="D132" s="713"/>
      <c r="E132" s="776"/>
      <c r="F132" s="705"/>
      <c r="G132" s="486"/>
      <c r="H132" s="449"/>
      <c r="I132" s="449"/>
      <c r="J132" s="449"/>
      <c r="K132" s="454"/>
      <c r="L132" s="449"/>
      <c r="M132" s="449"/>
      <c r="N132" s="504"/>
      <c r="O132" s="504"/>
      <c r="P132" s="504"/>
      <c r="Q132" s="504"/>
      <c r="R132" s="433"/>
      <c r="S132" s="434"/>
      <c r="T132" s="64"/>
    </row>
    <row r="133" spans="1:21" ht="24" hidden="1" customHeight="1">
      <c r="A133" s="3"/>
      <c r="B133" s="714"/>
      <c r="C133" s="712"/>
      <c r="D133" s="713"/>
      <c r="E133" s="776"/>
      <c r="F133" s="706"/>
      <c r="G133" s="486"/>
      <c r="H133" s="473"/>
      <c r="I133" s="473"/>
      <c r="J133" s="473"/>
      <c r="K133" s="475"/>
      <c r="L133" s="473"/>
      <c r="M133" s="473"/>
      <c r="N133" s="505"/>
      <c r="O133" s="505"/>
      <c r="P133" s="505"/>
      <c r="Q133" s="505"/>
      <c r="R133" s="433"/>
      <c r="S133" s="434"/>
      <c r="T133" s="64"/>
    </row>
    <row r="134" spans="1:21" ht="24" hidden="1" customHeight="1">
      <c r="A134" s="3"/>
      <c r="B134" s="702"/>
      <c r="C134" s="703"/>
      <c r="D134" s="704"/>
      <c r="E134" s="710"/>
      <c r="F134" s="700"/>
      <c r="G134" s="486"/>
      <c r="H134" s="453"/>
      <c r="I134" s="453"/>
      <c r="J134" s="453"/>
      <c r="K134" s="452"/>
      <c r="L134" s="453"/>
      <c r="M134" s="453"/>
      <c r="N134" s="506"/>
      <c r="O134" s="506"/>
      <c r="P134" s="506"/>
      <c r="Q134" s="506"/>
      <c r="R134" s="313"/>
      <c r="S134" s="435"/>
      <c r="T134" s="64"/>
    </row>
    <row r="135" spans="1:21" ht="24" hidden="1" customHeight="1">
      <c r="A135" s="3"/>
      <c r="B135" s="702"/>
      <c r="C135" s="703"/>
      <c r="D135" s="704"/>
      <c r="E135" s="710"/>
      <c r="F135" s="701"/>
      <c r="G135" s="486"/>
      <c r="H135" s="471"/>
      <c r="I135" s="471"/>
      <c r="J135" s="471"/>
      <c r="K135" s="474"/>
      <c r="L135" s="471"/>
      <c r="M135" s="471"/>
      <c r="N135" s="507"/>
      <c r="O135" s="507"/>
      <c r="P135" s="508"/>
      <c r="Q135" s="508"/>
      <c r="R135" s="313"/>
      <c r="S135" s="435"/>
      <c r="T135" s="64"/>
    </row>
    <row r="136" spans="1:21" ht="24" hidden="1" customHeight="1">
      <c r="A136" s="3"/>
      <c r="B136" s="714"/>
      <c r="C136" s="712"/>
      <c r="D136" s="713"/>
      <c r="E136" s="749"/>
      <c r="F136" s="686"/>
      <c r="G136" s="486"/>
      <c r="H136" s="449"/>
      <c r="I136" s="449"/>
      <c r="J136" s="449"/>
      <c r="K136" s="465"/>
      <c r="L136" s="454"/>
      <c r="M136" s="454"/>
      <c r="N136" s="433"/>
      <c r="O136" s="433"/>
      <c r="P136" s="433"/>
      <c r="Q136" s="433"/>
      <c r="R136" s="433"/>
      <c r="S136" s="434"/>
      <c r="T136" s="64"/>
    </row>
    <row r="137" spans="1:21" ht="24" hidden="1" customHeight="1">
      <c r="A137" s="3"/>
      <c r="B137" s="714"/>
      <c r="C137" s="712"/>
      <c r="D137" s="713"/>
      <c r="E137" s="749"/>
      <c r="F137" s="686"/>
      <c r="G137" s="486"/>
      <c r="H137" s="449"/>
      <c r="I137" s="472"/>
      <c r="J137" s="449"/>
      <c r="K137" s="476"/>
      <c r="L137" s="473"/>
      <c r="M137" s="473"/>
      <c r="N137" s="433"/>
      <c r="O137" s="433"/>
      <c r="P137" s="433"/>
      <c r="Q137" s="433"/>
      <c r="R137" s="433"/>
      <c r="S137" s="434"/>
      <c r="T137" s="64"/>
    </row>
    <row r="138" spans="1:21" ht="24" hidden="1" customHeight="1">
      <c r="A138" s="3"/>
      <c r="B138" s="702"/>
      <c r="C138" s="703"/>
      <c r="D138" s="704"/>
      <c r="E138" s="710"/>
      <c r="F138" s="700"/>
      <c r="G138" s="486"/>
      <c r="H138" s="453"/>
      <c r="I138" s="453"/>
      <c r="J138" s="453"/>
      <c r="K138" s="452"/>
      <c r="L138" s="453"/>
      <c r="M138" s="453"/>
      <c r="N138" s="313"/>
      <c r="O138" s="313"/>
      <c r="P138" s="313"/>
      <c r="Q138" s="313"/>
      <c r="R138" s="313"/>
      <c r="S138" s="435"/>
      <c r="T138" s="64"/>
    </row>
    <row r="139" spans="1:21" ht="24" hidden="1" customHeight="1">
      <c r="A139" s="3"/>
      <c r="B139" s="702"/>
      <c r="C139" s="703"/>
      <c r="D139" s="704"/>
      <c r="E139" s="710"/>
      <c r="F139" s="701"/>
      <c r="G139" s="464"/>
      <c r="H139" s="471"/>
      <c r="I139" s="471"/>
      <c r="J139" s="471"/>
      <c r="K139" s="474"/>
      <c r="L139" s="471"/>
      <c r="M139" s="471"/>
      <c r="N139" s="313"/>
      <c r="O139" s="313"/>
      <c r="P139" s="313"/>
      <c r="Q139" s="313"/>
      <c r="R139" s="313"/>
      <c r="S139" s="435"/>
      <c r="T139" s="64"/>
    </row>
    <row r="140" spans="1:21" ht="24" hidden="1" customHeight="1">
      <c r="A140" s="3"/>
      <c r="B140" s="743"/>
      <c r="C140" s="744"/>
      <c r="D140" s="745"/>
      <c r="E140" s="684"/>
      <c r="F140" s="686"/>
      <c r="G140" s="464"/>
      <c r="H140" s="449"/>
      <c r="I140" s="451"/>
      <c r="J140" s="449"/>
      <c r="K140" s="450"/>
      <c r="L140" s="449"/>
      <c r="M140" s="451"/>
      <c r="N140" s="129"/>
      <c r="O140" s="499"/>
      <c r="P140" s="129"/>
      <c r="Q140" s="129"/>
      <c r="R140" s="129"/>
      <c r="S140" s="129"/>
      <c r="T140" s="64"/>
    </row>
    <row r="141" spans="1:21" ht="24" hidden="1" customHeight="1">
      <c r="A141" s="3"/>
      <c r="B141" s="746"/>
      <c r="C141" s="747"/>
      <c r="D141" s="748"/>
      <c r="E141" s="685"/>
      <c r="F141" s="686"/>
      <c r="G141" s="464"/>
      <c r="H141" s="449"/>
      <c r="I141" s="500"/>
      <c r="J141" s="501"/>
      <c r="K141" s="500"/>
      <c r="L141" s="501"/>
      <c r="M141" s="500"/>
      <c r="N141" s="502"/>
      <c r="O141" s="500"/>
      <c r="P141" s="129"/>
      <c r="Q141" s="129"/>
      <c r="R141" s="129"/>
      <c r="S141" s="129"/>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39" thickBot="1">
      <c r="A144" s="3"/>
      <c r="B144" s="3" t="s">
        <v>372</v>
      </c>
      <c r="C144" s="3"/>
      <c r="D144" s="3"/>
      <c r="E144" s="314" t="s">
        <v>464</v>
      </c>
      <c r="F144" s="468" t="s">
        <v>373</v>
      </c>
      <c r="G144" s="242"/>
      <c r="H144" s="514" t="s">
        <v>447</v>
      </c>
      <c r="I144" s="514" t="s">
        <v>448</v>
      </c>
      <c r="J144" s="514" t="s">
        <v>449</v>
      </c>
      <c r="K144" s="514" t="s">
        <v>450</v>
      </c>
      <c r="L144" s="514" t="s">
        <v>451</v>
      </c>
      <c r="M144" s="529" t="s">
        <v>452</v>
      </c>
      <c r="N144" s="517"/>
      <c r="O144" s="517"/>
      <c r="P144" s="517"/>
      <c r="Q144" s="517"/>
      <c r="R144" s="517"/>
      <c r="S144" s="517"/>
      <c r="T144" s="36"/>
      <c r="U144" s="36"/>
    </row>
    <row r="145" spans="1:21" ht="31.5" customHeight="1">
      <c r="A145" s="3"/>
      <c r="B145" s="777"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78"/>
      <c r="D145" s="779"/>
      <c r="E145" s="766" t="str">
        <f>IF(ISBLANK(E118),"",(E118))</f>
        <v>Indicator de rezultat durabil</v>
      </c>
      <c r="F145" s="730" t="str">
        <f>IF(ISBLANK(F118),"",(F118))</f>
        <v>partial</v>
      </c>
      <c r="G145" s="489" t="s">
        <v>62</v>
      </c>
      <c r="H145" s="535">
        <f t="shared" ref="H145:M148" si="6">H118</f>
        <v>0</v>
      </c>
      <c r="I145" s="536">
        <f t="shared" si="6"/>
        <v>0.83</v>
      </c>
      <c r="J145" s="536">
        <f t="shared" si="6"/>
        <v>0</v>
      </c>
      <c r="K145" s="536">
        <f>K118</f>
        <v>0.84</v>
      </c>
      <c r="L145" s="535">
        <f t="shared" si="6"/>
        <v>0</v>
      </c>
      <c r="M145" s="535" t="str">
        <f t="shared" si="6"/>
        <v>≧85%</v>
      </c>
      <c r="N145" s="531"/>
      <c r="O145" s="532"/>
      <c r="P145" s="531"/>
      <c r="Q145" s="532"/>
      <c r="R145" s="531"/>
      <c r="S145" s="531"/>
      <c r="T145" s="36"/>
      <c r="U145" s="36"/>
    </row>
    <row r="146" spans="1:21" ht="31.5" customHeight="1">
      <c r="A146" s="3"/>
      <c r="B146" s="780"/>
      <c r="C146" s="781"/>
      <c r="D146" s="782"/>
      <c r="E146" s="766"/>
      <c r="F146" s="730"/>
      <c r="G146" s="490" t="s">
        <v>63</v>
      </c>
      <c r="H146" s="535">
        <f t="shared" si="6"/>
        <v>0</v>
      </c>
      <c r="I146" s="552">
        <f>I119</f>
        <v>0.84</v>
      </c>
      <c r="J146" s="536">
        <f t="shared" si="6"/>
        <v>0</v>
      </c>
      <c r="K146" s="552">
        <f t="shared" si="6"/>
        <v>0.83540000000000003</v>
      </c>
      <c r="L146" s="535">
        <f t="shared" si="6"/>
        <v>0</v>
      </c>
      <c r="M146" s="535">
        <f t="shared" si="6"/>
        <v>0.83330000000000004</v>
      </c>
      <c r="N146" s="531"/>
      <c r="O146" s="532"/>
      <c r="P146" s="531"/>
      <c r="Q146" s="532"/>
      <c r="R146" s="531"/>
      <c r="S146" s="531"/>
      <c r="T146" s="36"/>
      <c r="U146" s="36"/>
    </row>
    <row r="147" spans="1:21" ht="31.5" customHeight="1">
      <c r="A147" s="3"/>
      <c r="B147" s="740"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41"/>
      <c r="D147" s="742"/>
      <c r="E147" s="775" t="str">
        <f>IF(ISBLANK(E120),"",(E120))</f>
        <v>PMTCT-2</v>
      </c>
      <c r="F147" s="731" t="str">
        <f>IF(ISBLANK(F120),"",(F120))</f>
        <v>partial</v>
      </c>
      <c r="G147" s="491" t="s">
        <v>62</v>
      </c>
      <c r="H147" s="539">
        <f t="shared" si="6"/>
        <v>0.95</v>
      </c>
      <c r="I147" s="539">
        <f t="shared" si="6"/>
        <v>0.95</v>
      </c>
      <c r="J147" s="539">
        <f t="shared" si="6"/>
        <v>0.95</v>
      </c>
      <c r="K147" s="537">
        <f t="shared" si="6"/>
        <v>0.95</v>
      </c>
      <c r="L147" s="537">
        <f t="shared" si="6"/>
        <v>0.95</v>
      </c>
      <c r="M147" s="537">
        <f t="shared" si="6"/>
        <v>0.95</v>
      </c>
      <c r="N147" s="531"/>
      <c r="O147" s="533"/>
      <c r="P147" s="531"/>
      <c r="Q147" s="533"/>
      <c r="R147" s="531"/>
      <c r="S147" s="531"/>
      <c r="T147" s="36"/>
      <c r="U147" s="36"/>
    </row>
    <row r="148" spans="1:21" ht="31.5" customHeight="1">
      <c r="A148" s="3"/>
      <c r="B148" s="740"/>
      <c r="C148" s="741"/>
      <c r="D148" s="742"/>
      <c r="E148" s="775"/>
      <c r="F148" s="731"/>
      <c r="G148" s="491" t="s">
        <v>63</v>
      </c>
      <c r="H148" s="539">
        <f t="shared" si="6"/>
        <v>0.91</v>
      </c>
      <c r="I148" s="537">
        <f t="shared" si="6"/>
        <v>0.97</v>
      </c>
      <c r="J148" s="539">
        <f t="shared" si="6"/>
        <v>0.96</v>
      </c>
      <c r="K148" s="537">
        <f t="shared" si="6"/>
        <v>0.97019999999999995</v>
      </c>
      <c r="L148" s="537">
        <f t="shared" si="6"/>
        <v>0.98899999999999999</v>
      </c>
      <c r="M148" s="537">
        <f t="shared" si="6"/>
        <v>0.93600000000000005</v>
      </c>
      <c r="N148" s="531"/>
      <c r="O148" s="533"/>
      <c r="P148" s="531"/>
      <c r="Q148" s="533"/>
      <c r="R148" s="531"/>
      <c r="S148" s="531"/>
      <c r="T148" s="36"/>
      <c r="U148" s="36"/>
    </row>
    <row r="149" spans="1:21" ht="31.5" customHeight="1">
      <c r="A149" s="3"/>
      <c r="B149" s="769" t="str">
        <f>IF(ISBLANK(B124),"",(B124))</f>
        <v>TCS-1: Percentage of adults and children currently receiving antiretroviral therapy among all adults and children living with HIV // Procentul adultilor si copiilor in TARV in totalul adultilor si copiilor care traiesc cu HIV</v>
      </c>
      <c r="C149" s="770"/>
      <c r="D149" s="771"/>
      <c r="E149" s="766" t="str">
        <f>IF(ISBLANK(E124),"",(E124))</f>
        <v>TCS-1</v>
      </c>
      <c r="F149" s="730" t="str">
        <f>IF(ISBLANK(F124),"",(F124))</f>
        <v>partial</v>
      </c>
      <c r="G149" s="490" t="s">
        <v>62</v>
      </c>
      <c r="H149" s="536"/>
      <c r="I149" s="536">
        <f t="shared" ref="I149:K150" si="7">I124</f>
        <v>0.27</v>
      </c>
      <c r="J149" s="535">
        <f t="shared" si="7"/>
        <v>0</v>
      </c>
      <c r="K149" s="535">
        <f t="shared" si="7"/>
        <v>0.3</v>
      </c>
      <c r="L149" s="535">
        <f t="shared" ref="L149:M149" si="8">L124</f>
        <v>0</v>
      </c>
      <c r="M149" s="535">
        <f t="shared" si="8"/>
        <v>0.33</v>
      </c>
      <c r="N149" s="531"/>
      <c r="O149" s="531"/>
      <c r="P149" s="531"/>
      <c r="Q149" s="531"/>
      <c r="R149" s="531"/>
      <c r="S149" s="531"/>
      <c r="T149" s="36"/>
      <c r="U149" s="36"/>
    </row>
    <row r="150" spans="1:21" ht="31.5" customHeight="1" thickBot="1">
      <c r="A150" s="3"/>
      <c r="B150" s="772"/>
      <c r="C150" s="773"/>
      <c r="D150" s="774"/>
      <c r="E150" s="767"/>
      <c r="F150" s="768"/>
      <c r="G150" s="492" t="s">
        <v>63</v>
      </c>
      <c r="H150" s="540"/>
      <c r="I150" s="540">
        <f t="shared" si="7"/>
        <v>0.21</v>
      </c>
      <c r="J150" s="538">
        <f t="shared" si="7"/>
        <v>0</v>
      </c>
      <c r="K150" s="538">
        <f t="shared" si="7"/>
        <v>0.28179999999999999</v>
      </c>
      <c r="L150" s="538">
        <f t="shared" ref="L150:M150" si="9">L125</f>
        <v>0</v>
      </c>
      <c r="M150" s="538">
        <f t="shared" si="9"/>
        <v>0.28100000000000003</v>
      </c>
      <c r="N150" s="531"/>
      <c r="O150" s="531"/>
      <c r="P150" s="531"/>
      <c r="Q150" s="531"/>
      <c r="R150" s="531"/>
      <c r="S150" s="531"/>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 ref="O31:O34"/>
    <mergeCell ref="E118:E119"/>
    <mergeCell ref="F118:F119"/>
    <mergeCell ref="F120:F121"/>
    <mergeCell ref="E120:E121"/>
    <mergeCell ref="F47:I47"/>
    <mergeCell ref="E126:E127"/>
    <mergeCell ref="F126:F127"/>
    <mergeCell ref="I24:J24"/>
    <mergeCell ref="B21:J21"/>
    <mergeCell ref="B73:C73"/>
    <mergeCell ref="E124:E125"/>
    <mergeCell ref="B116:D116"/>
    <mergeCell ref="D24:E24"/>
    <mergeCell ref="B122:D123"/>
    <mergeCell ref="E122:E123"/>
    <mergeCell ref="F122:F123"/>
    <mergeCell ref="B147:D148"/>
    <mergeCell ref="B134:D135"/>
    <mergeCell ref="B130:D131"/>
    <mergeCell ref="B136:D137"/>
    <mergeCell ref="B140:D141"/>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B71:C71"/>
    <mergeCell ref="B26:C26"/>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s>
  <phoneticPr fontId="30" type="noConversion"/>
  <conditionalFormatting sqref="B34 B32 C32:D33 E32:H32 E33:N33 C31">
    <cfRule type="expression" dxfId="47" priority="10" stopIfTrue="1">
      <formula>+AND(B30&gt;=#REF!,B30&lt;=#REF!)</formula>
    </cfRule>
  </conditionalFormatting>
  <conditionalFormatting sqref="C34:N34">
    <cfRule type="expression" dxfId="46" priority="11" stopIfTrue="1">
      <formula>+AND(C32&gt;=#REF!,C32&lt;=#REF!)</formula>
    </cfRule>
  </conditionalFormatting>
  <conditionalFormatting sqref="C30:N30 C94:N94">
    <cfRule type="cellIs" dxfId="45" priority="14" stopIfTrue="1" operator="equal">
      <formula>$C$16</formula>
    </cfRule>
  </conditionalFormatting>
  <conditionalFormatting sqref="C12:D12">
    <cfRule type="cellIs" dxfId="44" priority="16" stopIfTrue="1" operator="equal">
      <formula>"C"</formula>
    </cfRule>
    <cfRule type="cellIs" dxfId="43" priority="17" stopIfTrue="1" operator="equal">
      <formula>"B2"</formula>
    </cfRule>
    <cfRule type="cellIs" dxfId="42" priority="18" stopIfTrue="1" operator="equal">
      <formula>"B1"</formula>
    </cfRule>
  </conditionalFormatting>
  <conditionalFormatting sqref="C30:H30 H116:S117 H144:S144 C94:H94">
    <cfRule type="cellIs" dxfId="41" priority="25" stopIfTrue="1" operator="equal">
      <formula>$C$16</formula>
    </cfRule>
  </conditionalFormatting>
  <conditionalFormatting sqref="F47:I47">
    <cfRule type="expression" dxfId="40" priority="26" stopIfTrue="1">
      <formula>LEFT($F$47,2)="OK"</formula>
    </cfRule>
  </conditionalFormatting>
  <conditionalFormatting sqref="C32:E32 C31">
    <cfRule type="expression" dxfId="39" priority="8" stopIfTrue="1">
      <formula>+AND(C30&gt;=#REF!,C30&lt;=#REF!)</formula>
    </cfRule>
  </conditionalFormatting>
  <conditionalFormatting sqref="B34">
    <cfRule type="expression" dxfId="38" priority="5" stopIfTrue="1">
      <formula>+AND(B33&gt;=#REF!,B33&lt;=#REF!)</formula>
    </cfRule>
  </conditionalFormatting>
  <conditionalFormatting sqref="C32:H32 C31">
    <cfRule type="expression" dxfId="37" priority="2" stopIfTrue="1">
      <formula>+AND(C30&gt;=#REF!,C30&lt;=#REF!)</formula>
    </cfRule>
  </conditionalFormatting>
  <conditionalFormatting sqref="C32:E32 C31">
    <cfRule type="expression" dxfId="36" priority="1" stopIfTrue="1">
      <formula>+AND(C30&gt;=#REF!,C30&lt;=#REF!)</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25" right="0.25" top="0.75" bottom="0.75" header="0.3" footer="0.3"/>
  <pageSetup paperSize="9" scale="41" orientation="landscape" r:id="rId1"/>
  <headerFooter>
    <oddFooter>&amp;L&amp;F&amp;C&amp;A&amp;RV1.0          &amp;D</oddFooter>
  </headerFooter>
  <rowBreaks count="2" manualBreakCount="2">
    <brk id="71" max="18" man="1"/>
    <brk id="150" max="18" man="1"/>
  </rowBreaks>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view="pageBreakPreview" zoomScaleNormal="110" zoomScaleSheetLayoutView="100" workbookViewId="0">
      <selection activeCell="N6" sqref="N6"/>
    </sheetView>
  </sheetViews>
  <sheetFormatPr defaultColWidth="11.42578125" defaultRowHeight="15"/>
  <cols>
    <col min="1" max="1" width="26.140625" style="3" customWidth="1"/>
    <col min="2" max="4" width="15.28515625" style="3" customWidth="1"/>
    <col min="5" max="6" width="17.7109375" style="3" customWidth="1"/>
    <col min="7" max="7" width="11.7109375" style="3" customWidth="1"/>
    <col min="8" max="8" width="15" style="3" customWidth="1"/>
    <col min="9" max="10" width="8.710937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4"/>
      <c r="H1" s="2"/>
      <c r="I1" s="2"/>
      <c r="J1" s="2"/>
    </row>
    <row r="2" spans="1:24" ht="25.5" customHeight="1"/>
    <row r="3" spans="1:24" ht="36">
      <c r="B3" s="783" t="str">
        <f>+"Dashboard: "&amp;" "&amp;+IF('Introducerea datelor'!C4="Please Select","",'Introducerea datelor'!C4&amp;" - ")&amp;+IF('Introducerea datelor'!G6="Please Select","",'Introducerea datelor'!G6)</f>
        <v>Dashboard:  Moldova - HIV / AIDS</v>
      </c>
      <c r="C3" s="783"/>
      <c r="D3" s="783"/>
      <c r="E3" s="783"/>
      <c r="F3" s="783"/>
      <c r="G3" s="783"/>
      <c r="H3" s="783"/>
      <c r="I3" s="783"/>
      <c r="J3" s="78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0" t="s">
        <v>499</v>
      </c>
      <c r="B6" s="785" t="str">
        <f>+IF('Introducerea datelor'!C4="Please Select","",'Introducerea datelor'!C4)</f>
        <v>Moldova</v>
      </c>
      <c r="C6" s="785"/>
      <c r="D6" s="789" t="s">
        <v>4</v>
      </c>
      <c r="E6" s="789"/>
      <c r="F6" s="790" t="str">
        <f>+'Introducerea datelor'!G4</f>
        <v xml:space="preserve">Fortificarea controlului infecției HIV în RM (2015-2017)
</v>
      </c>
      <c r="G6" s="790"/>
      <c r="H6" s="790"/>
      <c r="I6" s="790"/>
      <c r="J6" s="790"/>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8" t="s">
        <v>385</v>
      </c>
      <c r="B9" s="332" t="str">
        <f>+IF('Introducerea datelor'!G6="Please Select","",'Introducerea datelor'!G6)</f>
        <v>HIV / AIDS</v>
      </c>
      <c r="C9" s="222" t="s">
        <v>263</v>
      </c>
      <c r="D9" s="333" t="str">
        <f>+'Introducerea datelor'!C6</f>
        <v>MDA-H-PCIMU</v>
      </c>
      <c r="E9" s="787" t="s">
        <v>503</v>
      </c>
      <c r="F9" s="787"/>
      <c r="G9" s="334">
        <f>+IF(ISBLANK('Introducerea datelor'!C10),"",'Introducerea datelor'!C10)</f>
        <v>42005</v>
      </c>
      <c r="H9" s="368" t="s">
        <v>505</v>
      </c>
      <c r="I9" s="786">
        <f>+IF(ISBLANK('Introducerea datelor'!I6),"",'Introducerea datelor'!I6)</f>
        <v>3212688</v>
      </c>
      <c r="J9" s="786"/>
      <c r="K9" s="50"/>
      <c r="L9" s="50"/>
      <c r="M9" s="50"/>
      <c r="N9" s="50"/>
      <c r="O9" s="52"/>
      <c r="P9" s="51"/>
      <c r="Q9" s="52"/>
      <c r="R9" s="53"/>
      <c r="S9" s="17"/>
      <c r="T9" s="11"/>
      <c r="U9" s="11"/>
      <c r="V9" s="10"/>
      <c r="W9" s="10"/>
      <c r="X9" s="10"/>
    </row>
    <row r="10" spans="1:24" ht="25.5" customHeight="1">
      <c r="A10" s="368" t="s">
        <v>386</v>
      </c>
      <c r="B10" s="335" t="str">
        <f>+IF('Introducerea datelor'!G8="Please Select","",'Introducerea datelor'!G8)</f>
        <v/>
      </c>
      <c r="C10" s="222" t="s">
        <v>262</v>
      </c>
      <c r="D10" s="336">
        <f>+IF('Introducerea datelor'!I8="Please Select","",'Introducerea datelor'!I8)</f>
        <v>0</v>
      </c>
      <c r="E10" s="788" t="s">
        <v>504</v>
      </c>
      <c r="F10" s="788"/>
      <c r="G10" s="784" t="str">
        <f>+'Introducerea datelor'!C8</f>
        <v>IP "UCIMP DS"</v>
      </c>
      <c r="H10" s="784"/>
      <c r="I10" s="784"/>
      <c r="J10" s="784"/>
      <c r="K10" s="54"/>
      <c r="L10" s="54"/>
      <c r="M10" s="50"/>
      <c r="N10" s="54"/>
      <c r="O10" s="52"/>
      <c r="P10" s="51"/>
      <c r="Q10" s="11"/>
      <c r="R10" s="53"/>
      <c r="S10" s="17"/>
      <c r="T10" s="11"/>
      <c r="U10" s="11"/>
    </row>
    <row r="11" spans="1:24" ht="25.5" customHeight="1">
      <c r="A11" s="368" t="s">
        <v>500</v>
      </c>
      <c r="B11" s="337" t="str">
        <f>+'Introducerea datelor'!C16</f>
        <v>P6</v>
      </c>
      <c r="C11" s="318" t="s">
        <v>229</v>
      </c>
      <c r="D11" s="338">
        <f>+IF(ISBLANK('Introducerea datelor'!E16),"",'Introducerea datelor'!E16)</f>
        <v>42917</v>
      </c>
      <c r="E11" s="787" t="s">
        <v>12</v>
      </c>
      <c r="F11" s="787"/>
      <c r="G11" s="338">
        <f>+IF(ISBLANK('Introducerea datelor'!G16),"",'Introducerea datelor'!G16)</f>
        <v>43100</v>
      </c>
      <c r="H11" s="368" t="s">
        <v>383</v>
      </c>
      <c r="I11" s="791" t="s">
        <v>29</v>
      </c>
      <c r="J11" s="791"/>
      <c r="K11" s="263"/>
      <c r="L11" s="54"/>
      <c r="M11" s="50"/>
      <c r="N11" s="54"/>
      <c r="O11" s="54"/>
      <c r="P11" s="51"/>
      <c r="Q11" s="11"/>
      <c r="R11" s="53"/>
      <c r="S11" s="17"/>
      <c r="T11" s="12"/>
      <c r="U11" s="11"/>
    </row>
    <row r="12" spans="1:24" ht="25.5" customHeight="1">
      <c r="A12" s="368" t="s">
        <v>501</v>
      </c>
      <c r="B12" s="784" t="str">
        <f>+IF('Introducerea datelor'!G10="Please Select","",'Introducerea datelor'!G10)</f>
        <v>PwC (PricewaterhouseCoopers)</v>
      </c>
      <c r="C12" s="784"/>
      <c r="D12" s="784"/>
      <c r="E12" s="788" t="s">
        <v>506</v>
      </c>
      <c r="F12" s="788"/>
      <c r="G12" s="784" t="str">
        <f>+'Introducerea datelor'!G12</f>
        <v>Tsovinar Sakanyan</v>
      </c>
      <c r="H12" s="784"/>
      <c r="I12" s="784"/>
      <c r="J12" s="784"/>
      <c r="K12" s="54"/>
      <c r="L12" s="54"/>
      <c r="M12" s="50"/>
      <c r="N12" s="54"/>
      <c r="O12" s="17"/>
      <c r="P12" s="51"/>
      <c r="Q12" s="11"/>
      <c r="R12" s="53"/>
      <c r="S12" s="17"/>
      <c r="T12" s="11"/>
      <c r="U12" s="55"/>
      <c r="V12" s="11"/>
      <c r="W12" s="12"/>
      <c r="X12" s="11"/>
    </row>
    <row r="13" spans="1:24" ht="25.5" customHeight="1">
      <c r="A13" s="368" t="s">
        <v>502</v>
      </c>
      <c r="B13" s="784" t="str">
        <f>+'Introducerea datelor'!D18</f>
        <v>IP UCIMP DS</v>
      </c>
      <c r="C13" s="784"/>
      <c r="D13" s="784"/>
      <c r="E13" s="788" t="s">
        <v>507</v>
      </c>
      <c r="F13" s="788"/>
      <c r="G13" s="792">
        <f>+IF(ISBLANK('Introducerea datelor'!J16),"",'Introducerea datelor'!J16)</f>
        <v>43238</v>
      </c>
      <c r="H13" s="793"/>
      <c r="I13" s="793"/>
      <c r="J13" s="79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1"/>
      <c r="D16" s="16"/>
      <c r="E16" s="36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Normal="100" zoomScalePageLayoutView="115" workbookViewId="0">
      <selection activeCell="O29" sqref="O2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32" t="str">
        <f>+"Dashboard:  "&amp;"  "&amp;IF(+'Introducerea datelor'!C4="Please Select","",'Introducerea datelor'!C4&amp;" - ")&amp;IF('Introducerea datelor'!G6="Please Select","",'Introducerea datelor'!G6)</f>
        <v>Dashboard:    Moldova - HIV / AIDS</v>
      </c>
      <c r="C2" s="732"/>
      <c r="D2" s="732"/>
      <c r="E2" s="732"/>
      <c r="F2" s="732"/>
      <c r="G2" s="732"/>
      <c r="H2" s="732"/>
      <c r="I2" s="732"/>
      <c r="J2" s="732"/>
      <c r="K2" s="732"/>
      <c r="L2" s="1"/>
      <c r="M2" s="1"/>
      <c r="N2" s="1"/>
      <c r="O2" s="1"/>
    </row>
    <row r="3" spans="2:15">
      <c r="B3" s="130" t="str">
        <f>+IF('Introducerea datelor'!G8="Please Select","",'Introducerea datelor'!G8)</f>
        <v/>
      </c>
      <c r="C3" s="798">
        <f>+IF('Introducerea datelor'!I8="Please Select","",'Introducerea datelor'!I8)</f>
        <v>0</v>
      </c>
      <c r="D3" s="798"/>
      <c r="E3" s="797"/>
      <c r="F3" s="797"/>
      <c r="G3" s="797"/>
      <c r="H3" s="797"/>
      <c r="I3" s="795" t="str">
        <f>+'Introducerea datelor'!B16</f>
        <v>Perioada de Raportare:</v>
      </c>
      <c r="J3" s="795"/>
      <c r="K3" s="195" t="str">
        <f>+'Introducerea datelor'!C16</f>
        <v>P6</v>
      </c>
      <c r="L3" s="83"/>
    </row>
    <row r="4" spans="2:15">
      <c r="B4" s="130" t="str">
        <f>+'Introducerea datelor'!B12</f>
        <v>Ultimul Rating:</v>
      </c>
      <c r="C4" s="799" t="str">
        <f>+IF('Introducerea datelor'!C12="Please Select","",'Introducerea datelor'!C12)</f>
        <v>A2</v>
      </c>
      <c r="D4" s="799"/>
      <c r="E4" s="797" t="str">
        <f>+'Introducerea datelor'!C8</f>
        <v>IP "UCIMP DS"</v>
      </c>
      <c r="F4" s="797"/>
      <c r="G4" s="797"/>
      <c r="H4" s="797"/>
      <c r="I4" s="795" t="str">
        <f>+'Introducerea datelor'!D16</f>
        <v>De la:</v>
      </c>
      <c r="J4" s="796"/>
      <c r="K4" s="197">
        <f>+IF(ISBLANK('Introducerea datelor'!E16),"",'Introducerea datelor'!E16)</f>
        <v>42917</v>
      </c>
    </row>
    <row r="5" spans="2:15" ht="49.5" customHeight="1">
      <c r="B5" s="130"/>
      <c r="C5" s="130"/>
      <c r="D5" s="794" t="str">
        <f>+'Introducerea datelor'!G4</f>
        <v xml:space="preserve">Fortificarea controlului infecției HIV în RM (2015-2017)
</v>
      </c>
      <c r="E5" s="794"/>
      <c r="F5" s="794"/>
      <c r="G5" s="794"/>
      <c r="H5" s="794"/>
      <c r="I5" s="794"/>
      <c r="J5" s="130" t="str">
        <f>+'Introducerea datelor'!F16</f>
        <v>Pînă la:</v>
      </c>
      <c r="K5" s="197">
        <f>+IF(ISBLANK('Introducerea datelor'!G16),"",'Introducerea datelor'!G16)</f>
        <v>43100</v>
      </c>
    </row>
    <row r="6" spans="2:15" ht="18.75">
      <c r="B6" s="134"/>
      <c r="C6" s="130"/>
      <c r="D6" s="131"/>
      <c r="E6" s="806" t="s">
        <v>47</v>
      </c>
      <c r="F6" s="806"/>
      <c r="G6" s="806"/>
      <c r="H6" s="806"/>
      <c r="I6" s="3"/>
      <c r="J6" s="3"/>
      <c r="K6" s="3"/>
    </row>
    <row r="7" spans="2:15" ht="10.5" customHeight="1">
      <c r="B7" s="135"/>
      <c r="C7" s="136"/>
      <c r="D7" s="137"/>
      <c r="E7" s="138"/>
      <c r="F7" s="138"/>
      <c r="G7" s="139"/>
      <c r="H7" s="139"/>
      <c r="I7" s="133"/>
      <c r="J7" s="133"/>
      <c r="K7" s="132"/>
    </row>
    <row r="8" spans="2:15">
      <c r="B8" s="200" t="str">
        <f>+'Introducerea datelor'!B27&amp; " - in ("&amp;'Introducerea datelor'!D26&amp;")         "&amp;+I3&amp;" "&amp;+K3</f>
        <v>F1: Bugetul și debursările de către Fondul Global - in (€)         Perioada de Raportare: P6</v>
      </c>
      <c r="C8" s="140"/>
      <c r="D8" s="2"/>
      <c r="E8" s="2"/>
      <c r="F8" s="2"/>
      <c r="H8" s="200" t="str">
        <f>+'Introducerea datelor'!B49&amp; " - in ("&amp;'Introducerea datelor'!D26&amp;")         "&amp;+I3&amp;" "&amp;+K3</f>
        <v>F3: Debursări și cheltuieli - in (€)         Perioada de Raportare: P6</v>
      </c>
      <c r="I8" s="3"/>
      <c r="J8" s="3"/>
      <c r="K8" s="3"/>
    </row>
    <row r="9" spans="2:15">
      <c r="B9" s="341" t="s">
        <v>465</v>
      </c>
      <c r="C9" s="810" t="s">
        <v>405</v>
      </c>
      <c r="D9" s="811"/>
      <c r="E9" s="811"/>
      <c r="F9" s="812"/>
      <c r="H9" s="342" t="s">
        <v>3</v>
      </c>
      <c r="I9" s="820" t="s">
        <v>406</v>
      </c>
      <c r="J9" s="811"/>
      <c r="K9" s="81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1" t="str">
        <f>+'Introducerea datelor'!B36&amp; " - in ("&amp;'Introducerea datelor'!D26&amp;")  "&amp;+I3&amp;" "&amp;+K3</f>
        <v>F2: Bugetul și cheltuielile actuale după Obiectivele Grantului - in (€)  Perioada de Raportare: P6</v>
      </c>
      <c r="C22" s="2"/>
      <c r="D22" s="2"/>
      <c r="E22" s="2"/>
      <c r="F22" s="2"/>
      <c r="H22" s="813" t="str">
        <f>+'Introducerea datelor'!B58&amp;"  
"&amp;+I3&amp;" "&amp;+K3</f>
        <v>F4: Ultima perioadă de raportare și debursare a RP   
Perioada de Raportare: P6</v>
      </c>
      <c r="I22" s="813"/>
      <c r="J22" s="813"/>
      <c r="K22" s="813"/>
    </row>
    <row r="23" spans="1:11" ht="135.75" customHeight="1">
      <c r="B23" s="495" t="s">
        <v>466</v>
      </c>
      <c r="C23" s="817" t="s">
        <v>528</v>
      </c>
      <c r="D23" s="818"/>
      <c r="E23" s="818"/>
      <c r="F23" s="819"/>
      <c r="G23" s="497"/>
      <c r="H23" s="495" t="s">
        <v>3</v>
      </c>
      <c r="I23" s="814" t="s">
        <v>529</v>
      </c>
      <c r="J23" s="815"/>
      <c r="K23" s="816"/>
    </row>
    <row r="24" spans="1:11" ht="15.75" thickBot="1">
      <c r="B24" s="210"/>
      <c r="C24" s="210"/>
      <c r="D24" s="210"/>
      <c r="E24" s="210"/>
      <c r="F24" s="210"/>
      <c r="G24" s="210"/>
      <c r="H24" s="211"/>
      <c r="I24" s="211"/>
      <c r="J24" s="210"/>
      <c r="K24" s="210"/>
    </row>
    <row r="25" spans="1:11" ht="29.25" customHeight="1" thickBot="1">
      <c r="B25" s="3"/>
      <c r="C25" s="3"/>
      <c r="D25" s="3"/>
      <c r="E25" s="3"/>
      <c r="F25" s="3"/>
      <c r="G25" s="316"/>
      <c r="H25" s="807" t="s">
        <v>254</v>
      </c>
      <c r="I25" s="808"/>
      <c r="J25" s="808"/>
      <c r="K25" s="809"/>
    </row>
    <row r="26" spans="1:11" ht="24.75">
      <c r="B26" s="3"/>
      <c r="C26" s="3"/>
      <c r="D26" s="3"/>
      <c r="E26" s="3"/>
      <c r="F26" s="3"/>
      <c r="G26" s="279"/>
      <c r="H26" s="804"/>
      <c r="I26" s="805"/>
      <c r="J26" s="295" t="s">
        <v>45</v>
      </c>
      <c r="K26" s="296" t="s">
        <v>46</v>
      </c>
    </row>
    <row r="27" spans="1:11" ht="23.25" customHeight="1">
      <c r="B27" s="3"/>
      <c r="C27" s="3"/>
      <c r="D27" s="3"/>
      <c r="E27" s="3"/>
      <c r="F27" s="3"/>
      <c r="G27" s="317"/>
      <c r="H27" s="802" t="str">
        <f>'Introducerea datelor'!B62</f>
        <v>Zile necesare pentru remiterea PU/DR final către ALF</v>
      </c>
      <c r="I27" s="803"/>
      <c r="J27" s="297">
        <v>80</v>
      </c>
      <c r="K27" s="541">
        <v>80</v>
      </c>
    </row>
    <row r="28" spans="1:11" ht="21" customHeight="1">
      <c r="B28" s="3"/>
      <c r="C28" s="3"/>
      <c r="D28" s="3"/>
      <c r="E28" s="3"/>
      <c r="F28" s="3"/>
      <c r="G28" s="317"/>
      <c r="H28" s="802" t="str">
        <f>'Introducerea datelor'!B63</f>
        <v>Zile necesare pentru debursare către RP</v>
      </c>
      <c r="I28" s="803"/>
      <c r="J28" s="297">
        <f>+'Introducerea datelor'!C63</f>
        <v>0</v>
      </c>
      <c r="K28" s="541">
        <f>+'Introducerea datelor'!D63</f>
        <v>0</v>
      </c>
    </row>
    <row r="29" spans="1:11" ht="21" customHeight="1" thickBot="1">
      <c r="B29" s="3"/>
      <c r="C29" s="3"/>
      <c r="D29" s="3"/>
      <c r="E29" s="3"/>
      <c r="F29" s="3"/>
      <c r="G29" s="317"/>
      <c r="H29" s="800" t="str">
        <f>'Introducerea datelor'!B64</f>
        <v>Zile necesare pentru debursare către SR</v>
      </c>
      <c r="I29" s="801"/>
      <c r="J29" s="298">
        <v>10</v>
      </c>
      <c r="K29" s="542">
        <v>10</v>
      </c>
    </row>
    <row r="30" spans="1:11">
      <c r="B30" s="3"/>
      <c r="C30" s="3"/>
      <c r="D30" s="3"/>
      <c r="E30" s="3"/>
      <c r="F30" s="3"/>
      <c r="G30" s="3"/>
      <c r="H30" s="3"/>
      <c r="I30" s="3"/>
      <c r="J30" s="3"/>
      <c r="K30" s="3"/>
    </row>
    <row r="31" spans="1:11">
      <c r="B31" s="3"/>
      <c r="C31" s="15"/>
      <c r="D31" s="232"/>
      <c r="E31" s="3"/>
      <c r="F31" s="3"/>
      <c r="G31" s="3"/>
      <c r="H31" s="3"/>
      <c r="I31" s="3"/>
      <c r="J31" s="3"/>
      <c r="K31" s="3"/>
    </row>
    <row r="32" spans="1:11">
      <c r="B32" s="3"/>
      <c r="C32" s="15"/>
      <c r="D32" s="232"/>
      <c r="E32" s="3"/>
      <c r="F32" s="3"/>
      <c r="G32" s="3"/>
      <c r="H32" s="3"/>
      <c r="I32" s="3"/>
      <c r="J32" s="3"/>
      <c r="K32" s="3"/>
    </row>
    <row r="34" spans="5:5">
      <c r="E34" s="19"/>
    </row>
  </sheetData>
  <mergeCells count="19">
    <mergeCell ref="H29:I29"/>
    <mergeCell ref="H28:I28"/>
    <mergeCell ref="H27:I27"/>
    <mergeCell ref="H26:I26"/>
    <mergeCell ref="E6:H6"/>
    <mergeCell ref="H25:K25"/>
    <mergeCell ref="C9:F9"/>
    <mergeCell ref="H22:K22"/>
    <mergeCell ref="I23:K23"/>
    <mergeCell ref="C23:F23"/>
    <mergeCell ref="I9:K9"/>
    <mergeCell ref="B2:K2"/>
    <mergeCell ref="D5:I5"/>
    <mergeCell ref="I4:J4"/>
    <mergeCell ref="I3:J3"/>
    <mergeCell ref="E3:H3"/>
    <mergeCell ref="C3:D3"/>
    <mergeCell ref="C4:D4"/>
    <mergeCell ref="E4:H4"/>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6"/>
  <sheetViews>
    <sheetView showGridLines="0" zoomScaleNormal="100" zoomScalePageLayoutView="85" workbookViewId="0">
      <selection activeCell="P8" sqref="P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8"/>
      <c r="E1" s="229"/>
    </row>
    <row r="2" spans="1:16" ht="27.75" customHeight="1">
      <c r="B2" s="838" t="str">
        <f>+"Dashboard:  "&amp;"  "&amp;IF(+'Introducerea datelor'!C4="Please Select","",'Introducerea datelor'!C4&amp;" - ")&amp;IF('Introducerea datelor'!G6="Please Select","",'Introducerea datelor'!G6)</f>
        <v>Dashboard:    Moldova - HIV / AIDS</v>
      </c>
      <c r="C2" s="838"/>
      <c r="D2" s="838"/>
      <c r="E2" s="838"/>
      <c r="F2" s="838"/>
      <c r="G2" s="838"/>
      <c r="H2" s="838"/>
      <c r="I2" s="838"/>
      <c r="J2" s="838"/>
      <c r="K2" s="838"/>
      <c r="L2" s="838"/>
      <c r="M2" s="26"/>
      <c r="N2" s="26"/>
      <c r="O2" s="26"/>
      <c r="P2" s="26"/>
    </row>
    <row r="3" spans="1:16">
      <c r="B3" s="24" t="str">
        <f>+IF('Introducerea datelor'!G8="Please Select","",'Introducerea datelor'!G8)</f>
        <v/>
      </c>
      <c r="C3" s="836">
        <f>+IF('Introducerea datelor'!I8="Please Select","",'Introducerea datelor'!I8)</f>
        <v>0</v>
      </c>
      <c r="D3" s="836"/>
      <c r="E3" s="837"/>
      <c r="F3" s="837"/>
      <c r="G3" s="837"/>
      <c r="H3" s="837"/>
      <c r="I3" s="837"/>
      <c r="J3" s="824" t="str">
        <f>+'Introducerea datelor'!B16</f>
        <v>Perioada de Raportare:</v>
      </c>
      <c r="K3" s="824"/>
      <c r="L3" s="195" t="str">
        <f>+'Introducerea datelor'!C16</f>
        <v>P6</v>
      </c>
    </row>
    <row r="4" spans="1:16">
      <c r="B4" s="24" t="str">
        <f>+'Introducerea datelor'!B12</f>
        <v>Ultimul Rating:</v>
      </c>
      <c r="C4" s="799" t="str">
        <f>+IF('Introducerea datelor'!C12="Please Select","",'Introducerea datelor'!C12)</f>
        <v>A2</v>
      </c>
      <c r="D4" s="799"/>
      <c r="E4" s="837" t="str">
        <f>+'Introducerea datelor'!C8</f>
        <v>IP "UCIMP DS"</v>
      </c>
      <c r="F4" s="837"/>
      <c r="G4" s="837"/>
      <c r="H4" s="837"/>
      <c r="I4" s="837"/>
      <c r="J4" s="824" t="str">
        <f>+'Introducerea datelor'!D16</f>
        <v>De la:</v>
      </c>
      <c r="K4" s="825"/>
      <c r="L4" s="197">
        <f>+IF(ISBLANK('Introducerea datelor'!E16),"",'Introducerea datelor'!E16)</f>
        <v>42917</v>
      </c>
    </row>
    <row r="5" spans="1:16" ht="31.5" customHeight="1">
      <c r="B5" s="24"/>
      <c r="C5" s="24"/>
      <c r="D5" s="828" t="str">
        <f>+'Introducerea datelor'!G4</f>
        <v xml:space="preserve">Fortificarea controlului infecției HIV în RM (2015-2017)
</v>
      </c>
      <c r="E5" s="828"/>
      <c r="F5" s="828"/>
      <c r="G5" s="828"/>
      <c r="H5" s="828"/>
      <c r="I5" s="828"/>
      <c r="J5" s="828"/>
      <c r="K5" s="24" t="str">
        <f>+'Introducerea datelor'!F16</f>
        <v>Pînă la:</v>
      </c>
      <c r="L5" s="197">
        <f>+IF(ISBLANK('Introducerea datelor'!G16),"",'Introducerea datelor'!G16)</f>
        <v>43100</v>
      </c>
    </row>
    <row r="6" spans="1:16" ht="18.75">
      <c r="B6" s="23"/>
      <c r="C6" s="24"/>
      <c r="D6" s="25"/>
      <c r="E6" s="839" t="s">
        <v>48</v>
      </c>
      <c r="F6" s="839"/>
      <c r="G6" s="839"/>
      <c r="H6" s="839"/>
      <c r="I6" s="839"/>
    </row>
    <row r="7" spans="1:16" ht="22.5" customHeight="1">
      <c r="B7" s="366" t="str">
        <f>+'Introducerea datelor'!B69&amp;"   "&amp;+J3&amp;" "&amp;+L3</f>
        <v>M1: Statutul Condițiilor Precedente și a Acțiunilor Prestabilite în Timp    Perioada de Raportare: P6</v>
      </c>
      <c r="C7" s="21"/>
      <c r="H7" s="366" t="str">
        <f>+'Introducerea datelor'!B76&amp;"   "&amp;+J3&amp;"  "&amp;+L3</f>
        <v>M2: Statutul pozițiilor cheie ale RP    Perioada de Raportare:  P6</v>
      </c>
    </row>
    <row r="8" spans="1:16" ht="171" customHeight="1">
      <c r="B8" s="343" t="s">
        <v>3</v>
      </c>
      <c r="C8" s="829" t="s">
        <v>517</v>
      </c>
      <c r="D8" s="830"/>
      <c r="E8" s="830"/>
      <c r="F8" s="831"/>
      <c r="G8" s="367"/>
      <c r="H8" s="342" t="s">
        <v>3</v>
      </c>
      <c r="I8" s="820" t="s">
        <v>474</v>
      </c>
      <c r="J8" s="826"/>
      <c r="K8" s="826"/>
      <c r="L8" s="827"/>
    </row>
    <row r="9" spans="1:16" s="36" customFormat="1" ht="112.5" customHeight="1">
      <c r="B9" s="210"/>
      <c r="C9" s="543"/>
      <c r="D9" s="543"/>
      <c r="E9" s="543"/>
      <c r="F9" s="543"/>
      <c r="G9" s="544"/>
      <c r="H9" s="211"/>
      <c r="I9" s="545"/>
      <c r="J9" s="546"/>
      <c r="K9" s="546"/>
      <c r="L9" s="546"/>
    </row>
    <row r="10" spans="1:16" ht="48" customHeight="1">
      <c r="B10" s="19"/>
      <c r="C10" s="19"/>
      <c r="D10" s="19"/>
      <c r="E10" s="19"/>
      <c r="F10" s="19"/>
      <c r="G10" s="19"/>
      <c r="H10" s="19"/>
    </row>
    <row r="11" spans="1:16">
      <c r="A11" s="47"/>
      <c r="B11" s="19"/>
      <c r="C11" s="19"/>
      <c r="D11" s="835"/>
      <c r="E11" s="631"/>
      <c r="F11" s="631"/>
      <c r="G11" s="204"/>
      <c r="H11" s="19"/>
      <c r="N11" s="49"/>
      <c r="O11" s="49"/>
      <c r="P11" s="48"/>
    </row>
    <row r="12" spans="1:16">
      <c r="B12" s="19"/>
      <c r="C12" s="28"/>
      <c r="D12" s="835"/>
      <c r="E12" s="28"/>
      <c r="F12" s="28"/>
      <c r="G12" s="28"/>
      <c r="H12" s="28"/>
      <c r="N12" s="19"/>
      <c r="O12" s="19"/>
    </row>
    <row r="13" spans="1:16">
      <c r="B13" s="28"/>
      <c r="C13" s="79"/>
      <c r="D13" s="80"/>
      <c r="E13" s="80"/>
      <c r="F13" s="80"/>
      <c r="G13" s="80"/>
      <c r="H13" s="81"/>
    </row>
    <row r="14" spans="1:16" ht="27.75" customHeight="1">
      <c r="B14" s="366" t="str">
        <f>+'Introducerea datelor'!B81&amp;"     "&amp;+J3&amp;" "&amp;+L3</f>
        <v>M3: Aranjamente contractuale (SR)      Perioada de Raportare: P6</v>
      </c>
      <c r="H14" s="366" t="str">
        <f>+'Introducerea datelor'!B86&amp;"          "&amp;+J3&amp;" "&amp;+L3</f>
        <v>M4: Numărul rapoartelor complete recepționate la timp          Perioada de Raportare: P6</v>
      </c>
    </row>
    <row r="15" spans="1:16" ht="26.25" customHeight="1">
      <c r="B15" s="343" t="s">
        <v>3</v>
      </c>
      <c r="C15" s="829" t="s">
        <v>411</v>
      </c>
      <c r="D15" s="841"/>
      <c r="E15" s="841"/>
      <c r="F15" s="842"/>
      <c r="G15" s="367"/>
      <c r="H15" s="342" t="s">
        <v>3</v>
      </c>
      <c r="I15" s="829" t="s">
        <v>411</v>
      </c>
      <c r="J15" s="830"/>
      <c r="K15" s="830"/>
      <c r="L15" s="831"/>
    </row>
    <row r="16" spans="1:16">
      <c r="B16" s="29"/>
      <c r="H16" s="30"/>
    </row>
    <row r="17" spans="2:16">
      <c r="M17" s="83"/>
    </row>
    <row r="25" spans="2:16" ht="41.25" customHeight="1">
      <c r="B25" s="840" t="str">
        <f>+'Introducerea datelor'!B92</f>
        <v xml:space="preserve">M5: Bugetul și Procurarea produselor medicale, echipamentului medical, medicamentelor și produselor farmaceutice </v>
      </c>
      <c r="C25" s="840"/>
      <c r="D25" s="840"/>
      <c r="E25" s="840"/>
      <c r="F25" s="840"/>
      <c r="H25" s="366" t="str">
        <f>+'Introducerea datelor'!B105&amp;"      "&amp;+J3&amp;"  "&amp;+L3</f>
        <v>M6: Diferență între stocul curent și stocul de siguranță      Perioada de Raportare:  P6</v>
      </c>
    </row>
    <row r="26" spans="2:16" s="496" customFormat="1" ht="84" customHeight="1">
      <c r="B26" s="493" t="s">
        <v>3</v>
      </c>
      <c r="C26" s="844" t="s">
        <v>530</v>
      </c>
      <c r="D26" s="845"/>
      <c r="E26" s="845"/>
      <c r="F26" s="846"/>
      <c r="G26" s="494"/>
      <c r="H26" s="495" t="s">
        <v>3</v>
      </c>
      <c r="I26" s="832" t="s">
        <v>467</v>
      </c>
      <c r="J26" s="833"/>
      <c r="K26" s="833"/>
      <c r="L26" s="834"/>
      <c r="N26" s="498"/>
      <c r="O26" s="498"/>
      <c r="P26" s="498"/>
    </row>
    <row r="27" spans="2:16" ht="7.5" customHeight="1"/>
    <row r="28" spans="2:16" ht="44.25" hidden="1" customHeight="1">
      <c r="F28" s="323"/>
      <c r="G28" s="323"/>
      <c r="H28" s="216" t="s">
        <v>17</v>
      </c>
      <c r="I28" s="319" t="s">
        <v>58</v>
      </c>
      <c r="J28" s="340" t="s">
        <v>269</v>
      </c>
      <c r="K28" s="215" t="s">
        <v>265</v>
      </c>
      <c r="L28" s="320" t="s">
        <v>264</v>
      </c>
    </row>
    <row r="29" spans="2:16" ht="15" hidden="1" customHeight="1">
      <c r="F29" s="323"/>
      <c r="G29" s="323"/>
      <c r="H29" s="821" t="str">
        <f>+'Introducerea datelor'!B108</f>
        <v>Please Select</v>
      </c>
      <c r="I29" s="547" t="str">
        <f>+'Introducerea datelor'!C108</f>
        <v>Please Select</v>
      </c>
      <c r="J29" s="429" t="str">
        <f>+'Introducerea datelor'!I108</f>
        <v/>
      </c>
      <c r="K29" s="430">
        <f>+'Introducerea datelor'!J108</f>
        <v>0</v>
      </c>
      <c r="L29" s="408" t="str">
        <f>+'Introducerea datelor'!K108</f>
        <v/>
      </c>
    </row>
    <row r="30" spans="2:16" hidden="1">
      <c r="F30" s="323"/>
      <c r="G30" s="323"/>
      <c r="H30" s="822"/>
      <c r="I30" s="321" t="str">
        <f>+'Introducerea datelor'!C109</f>
        <v>Please Select</v>
      </c>
      <c r="J30" s="429" t="str">
        <f>+'Introducerea datelor'!I109</f>
        <v/>
      </c>
      <c r="K30" s="430">
        <f>+'Introducerea datelor'!J109</f>
        <v>0</v>
      </c>
      <c r="L30" s="409" t="str">
        <f>+'Introducerea datelor'!K109</f>
        <v/>
      </c>
    </row>
    <row r="31" spans="2:16" hidden="1">
      <c r="F31" s="323"/>
      <c r="G31" s="323"/>
      <c r="H31" s="822"/>
      <c r="I31" s="321" t="str">
        <f>+'Introducerea datelor'!C110</f>
        <v>Please Select</v>
      </c>
      <c r="J31" s="429" t="str">
        <f>+'Introducerea datelor'!I110</f>
        <v/>
      </c>
      <c r="K31" s="430">
        <f>+'Introducerea datelor'!J110</f>
        <v>0</v>
      </c>
      <c r="L31" s="408" t="str">
        <f>+'Introducerea datelor'!K110</f>
        <v/>
      </c>
    </row>
    <row r="32" spans="2:16" ht="15.75" hidden="1" thickBot="1">
      <c r="F32" s="323"/>
      <c r="G32" s="323"/>
      <c r="H32" s="823"/>
      <c r="I32" s="322" t="str">
        <f>+'Introducerea datelor'!C111</f>
        <v>Please Select</v>
      </c>
      <c r="J32" s="431" t="str">
        <f>+'Introducerea datelor'!I111</f>
        <v/>
      </c>
      <c r="K32" s="432">
        <f>+'Introducerea datelor'!J111</f>
        <v>0</v>
      </c>
      <c r="L32" s="408" t="str">
        <f>+'Introducerea datelor'!K111</f>
        <v/>
      </c>
    </row>
    <row r="33" spans="2:12" ht="11.25" customHeight="1"/>
    <row r="34" spans="2:12" ht="46.5" customHeight="1">
      <c r="F34" s="19"/>
      <c r="G34" s="19"/>
      <c r="H34" s="19"/>
      <c r="I34" s="19"/>
      <c r="J34" s="19"/>
      <c r="K34" s="19"/>
      <c r="L34" s="19"/>
    </row>
    <row r="35" spans="2:12" ht="73.5" customHeight="1"/>
    <row r="36" spans="2:12" ht="24.75" customHeight="1">
      <c r="B36" s="843" t="str">
        <f>+'Introducerea datelor'!B102</f>
        <v>* Include numai AFR categoriile 4, 5 și 6  (Produse medicale și Echipamente medicale &amp; Medicamente și Produse farmaceutice)</v>
      </c>
      <c r="C36" s="843"/>
      <c r="D36" s="843"/>
      <c r="E36" s="843"/>
      <c r="F36" s="19"/>
      <c r="G36" s="19"/>
      <c r="H36" s="212"/>
      <c r="I36" s="213"/>
      <c r="J36" s="214"/>
      <c r="K36" s="204"/>
      <c r="L36" s="20"/>
    </row>
  </sheetData>
  <mergeCells count="20">
    <mergeCell ref="B36:E36"/>
    <mergeCell ref="C26:F26"/>
    <mergeCell ref="C3:D3"/>
    <mergeCell ref="E4:I4"/>
    <mergeCell ref="B2:L2"/>
    <mergeCell ref="C4:D4"/>
    <mergeCell ref="E6:I6"/>
    <mergeCell ref="E3:I3"/>
    <mergeCell ref="J3:K3"/>
    <mergeCell ref="H29:H32"/>
    <mergeCell ref="J4:K4"/>
    <mergeCell ref="I8:L8"/>
    <mergeCell ref="D5:J5"/>
    <mergeCell ref="I15:L15"/>
    <mergeCell ref="I26:L26"/>
    <mergeCell ref="D11:D12"/>
    <mergeCell ref="B25:F25"/>
    <mergeCell ref="C15:F15"/>
    <mergeCell ref="E11:F11"/>
    <mergeCell ref="C8:F8"/>
  </mergeCells>
  <phoneticPr fontId="30" type="noConversion"/>
  <conditionalFormatting sqref="D13">
    <cfRule type="cellIs" dxfId="26" priority="1" stopIfTrue="1" operator="greaterThan">
      <formula>0</formula>
    </cfRule>
  </conditionalFormatting>
  <conditionalFormatting sqref="E13">
    <cfRule type="cellIs" dxfId="25" priority="2" stopIfTrue="1" operator="greaterThan">
      <formula>0</formula>
    </cfRule>
  </conditionalFormatting>
  <conditionalFormatting sqref="F13: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29 L31:L32">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0">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3"/>
  <sheetViews>
    <sheetView showGridLines="0" zoomScale="110" zoomScaleNormal="110" zoomScalePageLayoutView="115" workbookViewId="0">
      <selection activeCell="T8" sqref="T8"/>
    </sheetView>
  </sheetViews>
  <sheetFormatPr defaultColWidth="11" defaultRowHeight="15"/>
  <cols>
    <col min="1" max="1" width="0.42578125" customWidth="1"/>
    <col min="2" max="2" width="13.85546875" customWidth="1"/>
    <col min="3" max="3" width="16.140625" customWidth="1"/>
    <col min="4" max="4" width="17.425781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75" t="str">
        <f>+"Dashboard:  "&amp;"  "&amp;IF(+'Introducerea datelor'!C4="Please Select","",'Introducerea datelor'!C4&amp;" - ")&amp;IF('Introducerea datelor'!G6="Please Select","",'Introducerea datelor'!G6)</f>
        <v>Dashboard:    Moldova - HIV / AIDS</v>
      </c>
      <c r="C2" s="875"/>
      <c r="D2" s="875"/>
      <c r="E2" s="875"/>
      <c r="F2" s="875"/>
      <c r="G2" s="875"/>
      <c r="H2" s="875"/>
      <c r="I2" s="875"/>
      <c r="J2" s="875"/>
      <c r="K2" s="875"/>
      <c r="L2" s="875"/>
      <c r="M2" s="875"/>
      <c r="N2" s="875"/>
      <c r="O2" s="875"/>
      <c r="P2" s="875"/>
      <c r="Q2" s="875"/>
    </row>
    <row r="3" spans="1:35" ht="18.75">
      <c r="A3" s="3"/>
      <c r="B3" s="130" t="str">
        <f>+IF('Introducerea datelor'!G8="Please Select","",'Introducerea datelor'!G8)</f>
        <v/>
      </c>
      <c r="C3" s="798">
        <f>+IF('Introducerea datelor'!I8="Please Select","",'Introducerea datelor'!I8)</f>
        <v>0</v>
      </c>
      <c r="D3" s="798"/>
      <c r="E3" s="797"/>
      <c r="F3" s="797"/>
      <c r="G3" s="797"/>
      <c r="H3" s="797"/>
      <c r="I3" s="879"/>
      <c r="J3" s="879"/>
      <c r="K3" s="879"/>
      <c r="L3" s="3"/>
      <c r="M3" s="3"/>
      <c r="O3" s="795" t="str">
        <f>+'Introducerea datelor'!B16</f>
        <v>Perioada de Raportare:</v>
      </c>
      <c r="P3" s="795"/>
      <c r="Q3" s="482" t="str">
        <f>+'Introducerea datelor'!C16</f>
        <v>P6</v>
      </c>
      <c r="S3" s="36"/>
    </row>
    <row r="4" spans="1:35" ht="12" customHeight="1">
      <c r="A4" s="3"/>
      <c r="B4" s="130" t="str">
        <f>+'Introducerea datelor'!B12</f>
        <v>Ultimul Rating:</v>
      </c>
      <c r="C4" s="880" t="str">
        <f>+IF('Introducerea datelor'!C12="Please Select","",'Introducerea datelor'!C12)</f>
        <v>A2</v>
      </c>
      <c r="D4" s="880"/>
      <c r="E4" s="797" t="str">
        <f>+'Introducerea datelor'!C8</f>
        <v>IP "UCIMP DS"</v>
      </c>
      <c r="F4" s="797"/>
      <c r="G4" s="797"/>
      <c r="H4" s="797"/>
      <c r="I4" s="797"/>
      <c r="J4" s="797"/>
      <c r="K4" s="797"/>
      <c r="L4" s="797"/>
      <c r="M4" s="3"/>
      <c r="O4" s="325"/>
      <c r="P4" s="130" t="str">
        <f>+'Introducerea datelor'!D16</f>
        <v>De la:</v>
      </c>
      <c r="Q4" s="326">
        <f>+IF(ISBLANK('Introducerea datelor'!E16),"",'Introducerea datelor'!E16)</f>
        <v>42917</v>
      </c>
      <c r="S4" s="36"/>
      <c r="Y4" s="71"/>
      <c r="Z4" s="71"/>
      <c r="AA4" s="71"/>
      <c r="AB4" s="71"/>
      <c r="AC4" s="71"/>
    </row>
    <row r="5" spans="1:35" ht="54.75" customHeight="1">
      <c r="A5" s="3"/>
      <c r="B5" s="130"/>
      <c r="C5" s="130"/>
      <c r="D5" s="876" t="str">
        <f>+'Introducerea datelor'!G4</f>
        <v xml:space="preserve">Fortificarea controlului infecției HIV în RM (2015-2017)
</v>
      </c>
      <c r="E5" s="876"/>
      <c r="F5" s="876"/>
      <c r="G5" s="876"/>
      <c r="H5" s="876"/>
      <c r="I5" s="876"/>
      <c r="J5" s="876"/>
      <c r="K5" s="876"/>
      <c r="L5" s="876"/>
      <c r="M5" s="876"/>
      <c r="N5" s="876"/>
      <c r="P5" s="130" t="str">
        <f>+'Introducerea datelor'!F16</f>
        <v>Pînă la:</v>
      </c>
      <c r="Q5" s="326">
        <f>+IF(ISBLANK('Introducerea datelor'!G16),"",'Introducerea datelor'!G16)</f>
        <v>43100</v>
      </c>
      <c r="S5" s="485"/>
      <c r="T5" s="223"/>
      <c r="U5" s="223"/>
      <c r="V5" s="223"/>
      <c r="W5" s="223"/>
      <c r="X5" s="223"/>
      <c r="Y5" s="71"/>
      <c r="Z5" s="71"/>
      <c r="AA5" s="71" t="s">
        <v>27</v>
      </c>
      <c r="AB5" s="71"/>
      <c r="AC5" s="71" t="s">
        <v>227</v>
      </c>
      <c r="AD5" s="223"/>
      <c r="AE5" s="223"/>
      <c r="AF5" s="223"/>
      <c r="AG5" s="223"/>
      <c r="AH5" s="223"/>
      <c r="AI5" s="223"/>
    </row>
    <row r="6" spans="1:35" ht="19.5" customHeight="1">
      <c r="A6" s="3"/>
      <c r="B6" s="130"/>
      <c r="C6" s="130"/>
      <c r="D6" s="221"/>
      <c r="E6" s="221"/>
      <c r="F6" s="878" t="s">
        <v>484</v>
      </c>
      <c r="G6" s="878"/>
      <c r="H6" s="878"/>
      <c r="I6" s="878"/>
      <c r="J6" s="878"/>
      <c r="K6" s="878"/>
      <c r="L6" s="221"/>
      <c r="M6" s="3"/>
      <c r="N6" s="3"/>
      <c r="O6" s="198"/>
      <c r="P6" s="252"/>
      <c r="S6" s="485"/>
      <c r="T6" s="223"/>
      <c r="U6" s="223"/>
      <c r="V6" s="223"/>
      <c r="W6" s="223"/>
      <c r="X6" s="223"/>
      <c r="Y6" s="71"/>
      <c r="Z6" s="71"/>
      <c r="AA6" s="71"/>
      <c r="AB6" s="71"/>
      <c r="AC6" s="71"/>
      <c r="AD6" s="223"/>
      <c r="AE6" s="223"/>
      <c r="AF6" s="223"/>
      <c r="AG6" s="223"/>
      <c r="AH6" s="223"/>
      <c r="AI6" s="223"/>
    </row>
    <row r="7" spans="1:35" ht="3" customHeight="1">
      <c r="A7" s="3"/>
      <c r="B7" s="130"/>
      <c r="C7" s="130"/>
      <c r="D7" s="221"/>
      <c r="E7" s="221"/>
      <c r="F7" s="221"/>
      <c r="G7" s="221"/>
      <c r="H7" s="221"/>
      <c r="I7" s="221"/>
      <c r="J7" s="221"/>
      <c r="K7" s="221"/>
      <c r="L7" s="221"/>
      <c r="M7" s="3"/>
      <c r="N7" s="3"/>
      <c r="O7" s="198"/>
      <c r="P7" s="197"/>
      <c r="Q7" s="197"/>
      <c r="S7" s="223"/>
      <c r="T7" s="223"/>
      <c r="U7" s="223"/>
      <c r="V7" s="223"/>
      <c r="W7" s="223"/>
      <c r="X7" s="223"/>
      <c r="Y7" s="71"/>
      <c r="Z7" s="71"/>
      <c r="AA7" s="71"/>
      <c r="AB7" s="71"/>
      <c r="AC7" s="71"/>
      <c r="AD7" s="223"/>
      <c r="AE7" s="223"/>
      <c r="AF7" s="223"/>
      <c r="AG7" s="223"/>
      <c r="AH7" s="223"/>
      <c r="AI7" s="223"/>
    </row>
    <row r="8" spans="1:35" ht="60" customHeight="1">
      <c r="A8" s="3"/>
      <c r="B8" s="884"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84"/>
      <c r="D8" s="884"/>
      <c r="E8" s="884"/>
      <c r="F8" s="877"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77"/>
      <c r="H8" s="877"/>
      <c r="I8" s="877"/>
      <c r="J8" s="877"/>
      <c r="K8" s="877"/>
      <c r="L8" s="877" t="str">
        <f>+'Introducerea datelor'!B124</f>
        <v>TCS-1: Percentage of adults and children currently receiving antiretroviral therapy among all adults and children living with HIV // Procentul adultilor si copiilor in TARV in totalul adultilor si copiilor care traiesc cu HIV</v>
      </c>
      <c r="M8" s="877"/>
      <c r="N8" s="877"/>
      <c r="O8" s="877"/>
      <c r="P8" s="877"/>
      <c r="Q8" s="877"/>
      <c r="S8" s="223"/>
      <c r="T8" s="223"/>
      <c r="U8" s="223"/>
      <c r="V8" s="223"/>
      <c r="W8" s="223"/>
      <c r="X8" s="223"/>
      <c r="Y8" s="71"/>
      <c r="Z8" s="71"/>
      <c r="AA8" s="71"/>
      <c r="AB8" s="71"/>
      <c r="AC8" s="71"/>
      <c r="AD8" s="223"/>
      <c r="AE8" s="223"/>
      <c r="AF8" s="223"/>
      <c r="AG8" s="223"/>
      <c r="AH8" s="223"/>
      <c r="AI8" s="223"/>
    </row>
    <row r="9" spans="1:35" ht="59.25" customHeight="1">
      <c r="A9" s="3"/>
      <c r="B9" s="448" t="s">
        <v>301</v>
      </c>
      <c r="C9" s="881" t="s">
        <v>520</v>
      </c>
      <c r="D9" s="885"/>
      <c r="E9" s="886"/>
      <c r="F9" s="448" t="s">
        <v>302</v>
      </c>
      <c r="G9" s="881" t="s">
        <v>518</v>
      </c>
      <c r="H9" s="885"/>
      <c r="I9" s="885"/>
      <c r="J9" s="885"/>
      <c r="K9" s="886"/>
      <c r="L9" s="448" t="s">
        <v>303</v>
      </c>
      <c r="M9" s="881" t="s">
        <v>519</v>
      </c>
      <c r="N9" s="882"/>
      <c r="O9" s="882"/>
      <c r="P9" s="882"/>
      <c r="Q9" s="883"/>
      <c r="S9" s="223"/>
      <c r="T9" s="223"/>
      <c r="U9" s="223"/>
      <c r="V9" s="223"/>
      <c r="W9" s="223"/>
      <c r="X9" s="223"/>
      <c r="Y9" s="223"/>
      <c r="Z9" s="223"/>
      <c r="AA9" s="223"/>
      <c r="AB9" s="223"/>
      <c r="AC9" s="223"/>
      <c r="AD9" s="223"/>
      <c r="AE9" s="223"/>
      <c r="AF9" s="223"/>
      <c r="AG9" s="223"/>
      <c r="AH9" s="223"/>
      <c r="AI9" s="223"/>
    </row>
    <row r="10" spans="1:35" ht="18.75" customHeight="1">
      <c r="A10" s="3"/>
      <c r="B10" s="130"/>
      <c r="C10" s="130"/>
      <c r="D10" s="221"/>
      <c r="E10" s="221"/>
      <c r="F10" s="221"/>
      <c r="G10" s="221"/>
      <c r="H10" s="221"/>
      <c r="I10" s="221"/>
      <c r="J10" s="221"/>
      <c r="K10" s="221"/>
      <c r="L10" s="221"/>
      <c r="M10" s="3"/>
      <c r="N10" s="3"/>
      <c r="O10" s="198"/>
      <c r="P10" s="197"/>
      <c r="S10" s="223"/>
      <c r="T10" s="223"/>
      <c r="U10" s="223"/>
      <c r="V10" s="223"/>
      <c r="W10" s="223"/>
      <c r="X10" s="223"/>
      <c r="Y10" s="223"/>
      <c r="Z10" s="223"/>
      <c r="AA10" s="223"/>
      <c r="AB10" s="223"/>
      <c r="AC10" s="223"/>
      <c r="AD10" s="223"/>
      <c r="AE10" s="223"/>
      <c r="AF10" s="223"/>
      <c r="AG10" s="223"/>
      <c r="AH10" s="223"/>
      <c r="AI10" s="223"/>
    </row>
    <row r="11" spans="1:35" ht="18.75" customHeight="1">
      <c r="A11" s="3"/>
      <c r="B11" s="130"/>
      <c r="C11" s="130"/>
      <c r="D11" s="221"/>
      <c r="E11" s="221"/>
      <c r="F11" s="221"/>
      <c r="G11" s="221"/>
      <c r="H11" s="221"/>
      <c r="I11" s="221"/>
      <c r="J11" s="221"/>
      <c r="K11" s="221"/>
      <c r="L11" s="221"/>
      <c r="M11" s="3"/>
      <c r="N11" s="3"/>
      <c r="O11" s="198"/>
      <c r="P11" s="197"/>
      <c r="S11" s="223"/>
      <c r="T11" s="223"/>
      <c r="U11" s="223"/>
      <c r="V11" s="223"/>
      <c r="W11" s="223"/>
      <c r="X11" s="223"/>
      <c r="Y11" s="223"/>
      <c r="Z11" s="223"/>
      <c r="AA11" s="223"/>
      <c r="AB11" s="223"/>
      <c r="AC11" s="223"/>
      <c r="AD11" s="223"/>
      <c r="AE11" s="223"/>
      <c r="AF11" s="223"/>
      <c r="AG11" s="223"/>
      <c r="AH11" s="223"/>
      <c r="AI11" s="223"/>
    </row>
    <row r="12" spans="1:35" ht="18.75" customHeight="1">
      <c r="A12" s="3"/>
      <c r="B12" s="130"/>
      <c r="C12" s="130"/>
      <c r="D12" s="221"/>
      <c r="E12" s="221"/>
      <c r="F12" s="221"/>
      <c r="G12" s="221"/>
      <c r="H12" s="221"/>
      <c r="I12" s="221"/>
      <c r="J12" s="221"/>
      <c r="K12" s="221"/>
      <c r="L12" s="221"/>
      <c r="M12" s="3"/>
      <c r="N12" s="3"/>
      <c r="O12" s="198"/>
      <c r="P12" s="197"/>
      <c r="S12" s="223"/>
      <c r="T12" s="223"/>
      <c r="U12" s="223"/>
      <c r="V12" s="223"/>
      <c r="W12" s="223"/>
      <c r="X12" s="223"/>
      <c r="Y12" s="223"/>
      <c r="Z12" s="223"/>
      <c r="AA12" s="223"/>
      <c r="AB12" s="223"/>
      <c r="AC12" s="223"/>
      <c r="AD12" s="223"/>
      <c r="AE12" s="223"/>
      <c r="AF12" s="223"/>
      <c r="AG12" s="223"/>
      <c r="AH12" s="223"/>
      <c r="AI12" s="223"/>
    </row>
    <row r="13" spans="1:35" ht="18.75" customHeight="1">
      <c r="A13" s="3"/>
      <c r="B13" s="130"/>
      <c r="C13" s="130"/>
      <c r="D13" s="221"/>
      <c r="E13" s="221"/>
      <c r="F13" s="221"/>
      <c r="G13" s="221"/>
      <c r="H13" s="221"/>
      <c r="I13" s="221"/>
      <c r="J13" s="221"/>
      <c r="K13" s="221"/>
      <c r="L13" s="221"/>
      <c r="M13" s="3"/>
      <c r="N13" s="3"/>
      <c r="O13" s="198"/>
      <c r="P13" s="197"/>
      <c r="S13" s="223"/>
      <c r="T13" s="223"/>
      <c r="U13" s="223"/>
      <c r="V13" s="223"/>
      <c r="W13" s="223"/>
      <c r="X13" s="223"/>
      <c r="Y13" s="223"/>
      <c r="Z13" s="223"/>
      <c r="AA13" s="223"/>
      <c r="AB13" s="223"/>
      <c r="AC13" s="223"/>
      <c r="AD13" s="223"/>
      <c r="AE13" s="223"/>
      <c r="AF13" s="223"/>
      <c r="AG13" s="223"/>
      <c r="AH13" s="223"/>
      <c r="AI13" s="223"/>
    </row>
    <row r="14" spans="1:35" ht="18.75" customHeight="1">
      <c r="A14" s="3"/>
      <c r="B14" s="130"/>
      <c r="C14" s="130"/>
      <c r="D14" s="221"/>
      <c r="E14" s="221"/>
      <c r="F14" s="221"/>
      <c r="G14" s="221"/>
      <c r="H14" s="221"/>
      <c r="I14" s="221"/>
      <c r="J14" s="221"/>
      <c r="K14" s="221"/>
      <c r="L14" s="221"/>
      <c r="M14" s="3"/>
      <c r="N14" s="3"/>
      <c r="O14" s="198"/>
      <c r="P14" s="197"/>
      <c r="S14" s="223"/>
      <c r="T14" s="223"/>
      <c r="U14" s="223"/>
      <c r="V14" s="223"/>
      <c r="W14" s="223"/>
      <c r="X14" s="223"/>
      <c r="Y14" s="223"/>
      <c r="Z14" s="223"/>
      <c r="AA14" s="223"/>
      <c r="AB14" s="223"/>
      <c r="AC14" s="223"/>
      <c r="AD14" s="223"/>
      <c r="AE14" s="223"/>
      <c r="AF14" s="223"/>
      <c r="AG14" s="223"/>
      <c r="AH14" s="223"/>
      <c r="AI14" s="223"/>
    </row>
    <row r="15" spans="1:35" ht="18.75" customHeight="1">
      <c r="A15" s="3"/>
      <c r="B15" s="130"/>
      <c r="C15" s="130"/>
      <c r="D15" s="221"/>
      <c r="E15" s="221"/>
      <c r="F15" s="221"/>
      <c r="G15" s="221"/>
      <c r="H15" s="221"/>
      <c r="I15" s="221"/>
      <c r="J15" s="221"/>
      <c r="K15" s="221"/>
      <c r="L15" s="221"/>
      <c r="M15" s="3"/>
      <c r="N15" s="3"/>
      <c r="O15" s="198"/>
      <c r="P15" s="197"/>
      <c r="S15" s="223"/>
      <c r="T15" s="223"/>
      <c r="U15" s="223"/>
      <c r="V15" s="223"/>
      <c r="W15" s="223"/>
      <c r="X15" s="223"/>
      <c r="Y15" s="223"/>
      <c r="Z15" s="223"/>
      <c r="AA15" s="223"/>
      <c r="AB15" s="223"/>
      <c r="AC15" s="223"/>
      <c r="AD15" s="223"/>
      <c r="AE15" s="223"/>
      <c r="AF15" s="223"/>
      <c r="AG15" s="223"/>
      <c r="AH15" s="223"/>
      <c r="AI15" s="223"/>
    </row>
    <row r="16" spans="1:35" ht="18.75" customHeight="1">
      <c r="A16" s="3"/>
      <c r="B16" s="130"/>
      <c r="C16" s="130"/>
      <c r="D16" s="221"/>
      <c r="E16" s="221"/>
      <c r="F16" s="221"/>
      <c r="G16" s="221"/>
      <c r="H16" s="221"/>
      <c r="I16" s="221"/>
      <c r="J16" s="221"/>
      <c r="K16" s="221"/>
      <c r="L16" s="221"/>
      <c r="M16" s="3"/>
      <c r="N16" s="3"/>
      <c r="O16" s="198"/>
      <c r="P16" s="197"/>
      <c r="S16" s="223"/>
      <c r="T16" s="223"/>
      <c r="U16" s="223"/>
      <c r="V16" s="223"/>
      <c r="W16" s="223"/>
      <c r="X16" s="223"/>
      <c r="Y16" s="223"/>
      <c r="Z16" s="223"/>
      <c r="AA16" s="223"/>
      <c r="AB16" s="223"/>
      <c r="AC16" s="223"/>
      <c r="AD16" s="223"/>
      <c r="AE16" s="223"/>
      <c r="AF16" s="223"/>
      <c r="AG16" s="223"/>
      <c r="AH16" s="223"/>
      <c r="AI16" s="223"/>
    </row>
    <row r="17" spans="1:35" ht="26.25" customHeight="1">
      <c r="A17" s="3"/>
      <c r="B17" s="130"/>
      <c r="C17" s="130"/>
      <c r="D17" s="221"/>
      <c r="E17" s="221"/>
      <c r="F17" s="221"/>
      <c r="G17" s="221"/>
      <c r="H17" s="221"/>
      <c r="I17" s="221"/>
      <c r="J17" s="221"/>
      <c r="K17" s="221"/>
      <c r="L17" s="221"/>
      <c r="M17" s="3"/>
      <c r="N17" s="3"/>
      <c r="O17" s="198"/>
      <c r="P17" s="197"/>
      <c r="S17" s="223"/>
      <c r="T17" s="223"/>
      <c r="U17" s="223"/>
      <c r="V17" s="223"/>
      <c r="W17" s="223"/>
      <c r="X17" s="223"/>
      <c r="Y17" s="223"/>
      <c r="Z17" s="223"/>
      <c r="AA17" s="223"/>
      <c r="AB17" s="223"/>
      <c r="AC17" s="223"/>
      <c r="AD17" s="223"/>
      <c r="AE17" s="223"/>
      <c r="AF17" s="223"/>
      <c r="AG17" s="223"/>
      <c r="AH17" s="223"/>
      <c r="AI17" s="223"/>
    </row>
    <row r="18" spans="1:35" ht="22.5" customHeight="1">
      <c r="A18" s="3"/>
      <c r="B18" s="134"/>
      <c r="C18" s="130"/>
      <c r="D18" s="131"/>
      <c r="E18" s="860"/>
      <c r="F18" s="860"/>
      <c r="G18" s="860"/>
      <c r="H18" s="860"/>
      <c r="I18" s="860"/>
      <c r="J18" s="860"/>
      <c r="K18" s="860"/>
      <c r="L18" s="3"/>
      <c r="M18" s="3"/>
      <c r="N18" s="3"/>
      <c r="O18" s="3"/>
      <c r="P18" s="3"/>
      <c r="S18" s="223"/>
      <c r="T18" s="223"/>
      <c r="U18" s="223"/>
      <c r="V18" s="223"/>
      <c r="W18" s="223"/>
      <c r="X18" s="223"/>
      <c r="Y18" s="223"/>
      <c r="Z18" s="223"/>
      <c r="AA18" s="223"/>
      <c r="AB18" s="223"/>
      <c r="AC18" s="223"/>
      <c r="AD18" s="223"/>
      <c r="AE18" s="223"/>
      <c r="AF18" s="223"/>
      <c r="AG18" s="223"/>
      <c r="AH18" s="223"/>
      <c r="AI18" s="223"/>
    </row>
    <row r="19" spans="1:35" ht="24" customHeight="1">
      <c r="A19" s="3"/>
      <c r="B19" s="861" t="s">
        <v>65</v>
      </c>
      <c r="C19" s="861"/>
      <c r="D19" s="861"/>
      <c r="E19" s="141" t="s">
        <v>62</v>
      </c>
      <c r="F19" s="141" t="s">
        <v>66</v>
      </c>
      <c r="G19" s="853" t="s">
        <v>266</v>
      </c>
      <c r="H19" s="854"/>
      <c r="I19" s="855" t="s">
        <v>267</v>
      </c>
      <c r="J19" s="856"/>
      <c r="K19" s="324" t="s">
        <v>268</v>
      </c>
      <c r="L19" s="857" t="s">
        <v>69</v>
      </c>
      <c r="M19" s="858"/>
      <c r="N19" s="858"/>
      <c r="O19" s="858"/>
      <c r="P19" s="858"/>
      <c r="Q19" s="859"/>
      <c r="S19" s="65" t="s">
        <v>67</v>
      </c>
      <c r="T19" s="66">
        <v>0</v>
      </c>
      <c r="U19" s="67">
        <v>0.3</v>
      </c>
      <c r="V19" s="67">
        <v>0.6</v>
      </c>
      <c r="W19" s="67">
        <v>0.9</v>
      </c>
      <c r="X19" s="67">
        <v>1</v>
      </c>
      <c r="Y19" s="71"/>
      <c r="Z19" s="71"/>
      <c r="AA19" s="65" t="s">
        <v>67</v>
      </c>
      <c r="AB19" s="66">
        <v>0</v>
      </c>
      <c r="AC19" s="67">
        <v>0.2</v>
      </c>
      <c r="AD19" s="67">
        <v>0.4</v>
      </c>
      <c r="AE19" s="67">
        <v>0.6</v>
      </c>
      <c r="AF19" s="67">
        <v>0.8</v>
      </c>
      <c r="AG19" s="71"/>
      <c r="AH19" s="71"/>
      <c r="AI19" s="71"/>
    </row>
    <row r="20" spans="1:35" ht="55.5" customHeight="1">
      <c r="A20" s="3"/>
      <c r="B20" s="847"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48"/>
      <c r="D20" s="848"/>
      <c r="E20" s="509"/>
      <c r="F20" s="509"/>
      <c r="G20" s="849" t="s">
        <v>411</v>
      </c>
      <c r="H20" s="850"/>
      <c r="I20" s="850"/>
      <c r="J20" s="850"/>
      <c r="K20" s="851"/>
      <c r="L20" s="864" t="s">
        <v>521</v>
      </c>
      <c r="M20" s="865"/>
      <c r="N20" s="865"/>
      <c r="O20" s="865"/>
      <c r="P20" s="865"/>
      <c r="Q20" s="865"/>
      <c r="S20" s="65" t="s">
        <v>68</v>
      </c>
      <c r="T20" s="68">
        <v>0.3</v>
      </c>
      <c r="U20" s="67">
        <v>0.6</v>
      </c>
      <c r="V20" s="67">
        <v>0.9</v>
      </c>
      <c r="W20" s="67">
        <v>1</v>
      </c>
      <c r="X20" s="67">
        <v>2</v>
      </c>
      <c r="Y20" s="71"/>
      <c r="Z20" s="71"/>
      <c r="AA20" s="65" t="s">
        <v>68</v>
      </c>
      <c r="AB20" s="68">
        <v>0.2</v>
      </c>
      <c r="AC20" s="67">
        <v>0.4</v>
      </c>
      <c r="AD20" s="67">
        <v>0.6</v>
      </c>
      <c r="AE20" s="67">
        <v>0.8</v>
      </c>
      <c r="AF20" s="67">
        <v>1</v>
      </c>
      <c r="AG20" s="71"/>
      <c r="AH20" s="71"/>
      <c r="AI20" s="71"/>
    </row>
    <row r="21" spans="1:35" ht="192.75" customHeight="1">
      <c r="A21" s="3"/>
      <c r="B21" s="848"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48"/>
      <c r="D21" s="848"/>
      <c r="E21" s="509">
        <v>0.95</v>
      </c>
      <c r="F21" s="509">
        <v>0.93600000000000005</v>
      </c>
      <c r="G21" s="849">
        <f>F21/E21</f>
        <v>0.98526315789473695</v>
      </c>
      <c r="H21" s="850"/>
      <c r="I21" s="850"/>
      <c r="J21" s="850"/>
      <c r="K21" s="851"/>
      <c r="L21" s="866" t="s">
        <v>523</v>
      </c>
      <c r="M21" s="867"/>
      <c r="N21" s="867"/>
      <c r="O21" s="867"/>
      <c r="P21" s="867"/>
      <c r="Q21" s="86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228</v>
      </c>
      <c r="AA21" s="69" t="s">
        <v>227</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51" customHeight="1">
      <c r="A22" s="3"/>
      <c r="B22" s="847" t="str">
        <f>+'Introducerea datelor'!B122</f>
        <v>PMTCT-3: Percentage of infants born to HIV-positive women receiving a virological test for HIV within 2 months of birth // Procentul copiilor nascuti de femei  infectate cu HIV care au fost testati la HIV in primele 2 luni de la nastere</v>
      </c>
      <c r="C22" s="848"/>
      <c r="D22" s="848"/>
      <c r="E22" s="509">
        <v>0.9</v>
      </c>
      <c r="F22" s="509">
        <v>0.94499999999999995</v>
      </c>
      <c r="G22" s="849">
        <f>F22/E22</f>
        <v>1.0499999999999998</v>
      </c>
      <c r="H22" s="850"/>
      <c r="I22" s="850"/>
      <c r="J22" s="850"/>
      <c r="K22" s="851"/>
      <c r="L22" s="866" t="s">
        <v>522</v>
      </c>
      <c r="M22" s="867"/>
      <c r="N22" s="867"/>
      <c r="O22" s="867"/>
      <c r="P22" s="867"/>
      <c r="Q22" s="867"/>
      <c r="S22" s="69"/>
      <c r="T22" s="67" t="e">
        <f t="shared" ref="T22:W23" si="0">IF($K19&gt;T$19,IF($K19&lt;=T$20,$K19,NA()),NA())</f>
        <v>#N/A</v>
      </c>
      <c r="U22" s="67" t="e">
        <f t="shared" si="0"/>
        <v>#N/A</v>
      </c>
      <c r="V22" s="67" t="e">
        <f t="shared" si="0"/>
        <v>#N/A</v>
      </c>
      <c r="W22" s="67" t="e">
        <f t="shared" si="0"/>
        <v>#N/A</v>
      </c>
      <c r="X22" s="67" t="e">
        <f>IF($K19&gt;X$19,IF($K19&lt;=X$20,1,NA()),NA())</f>
        <v>#N/A</v>
      </c>
      <c r="Y22" s="71"/>
      <c r="Z22" s="194"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166.5" customHeight="1">
      <c r="A23" s="3"/>
      <c r="B23" s="848" t="str">
        <f>+'Introducerea datelor'!B124</f>
        <v>TCS-1: Percentage of adults and children currently receiving antiretroviral therapy among all adults and children living with HIV // Procentul adultilor si copiilor in TARV in totalul adultilor si copiilor care traiesc cu HIV</v>
      </c>
      <c r="C23" s="848"/>
      <c r="D23" s="848"/>
      <c r="E23" s="509">
        <v>0.33</v>
      </c>
      <c r="F23" s="509">
        <v>0.28100000000000003</v>
      </c>
      <c r="G23" s="849">
        <f>F23/E23</f>
        <v>0.85151515151515156</v>
      </c>
      <c r="H23" s="850"/>
      <c r="I23" s="850"/>
      <c r="J23" s="850"/>
      <c r="K23" s="851"/>
      <c r="L23" s="864" t="s">
        <v>524</v>
      </c>
      <c r="M23" s="865"/>
      <c r="N23" s="865"/>
      <c r="O23" s="865"/>
      <c r="P23" s="865"/>
      <c r="Q23" s="865"/>
      <c r="S23" s="69"/>
      <c r="T23" s="67" t="e">
        <f t="shared" si="0"/>
        <v>#N/A</v>
      </c>
      <c r="U23" s="67" t="e">
        <f t="shared" si="0"/>
        <v>#N/A</v>
      </c>
      <c r="V23" s="67" t="e">
        <f t="shared" si="0"/>
        <v>#N/A</v>
      </c>
      <c r="W23" s="67" t="e">
        <f t="shared" si="0"/>
        <v>#N/A</v>
      </c>
      <c r="X23" s="67" t="e">
        <f>IF($K20&gt;X$19,IF($K20&lt;=X$20,1,NA()),NA())</f>
        <v>#N/A</v>
      </c>
      <c r="Y23" s="71"/>
      <c r="Z23" s="194"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96.75" customHeight="1">
      <c r="A24" s="3"/>
      <c r="B24" s="847" t="str">
        <f>+'Introducerea datelor'!B126</f>
        <v>TCS-2: Percentage of people living with HIV that initiated ART with CD4 count of &lt;200 cells/mm³ // Procentul persoanelor infectate cu HIV care au initiat TARV cu nivelul CD4 &lt;200 celule/mm³</v>
      </c>
      <c r="C24" s="848"/>
      <c r="D24" s="848"/>
      <c r="E24" s="548">
        <v>0.3</v>
      </c>
      <c r="F24" s="509">
        <v>0.32990000000000003</v>
      </c>
      <c r="G24" s="849">
        <f>F24/E24</f>
        <v>1.0996666666666668</v>
      </c>
      <c r="H24" s="850"/>
      <c r="I24" s="850"/>
      <c r="J24" s="850"/>
      <c r="K24" s="851"/>
      <c r="L24" s="852" t="s">
        <v>525</v>
      </c>
      <c r="M24" s="852"/>
      <c r="N24" s="852"/>
      <c r="O24" s="852"/>
      <c r="P24" s="852"/>
      <c r="Q24" s="852"/>
      <c r="S24" s="69"/>
      <c r="T24" s="67" t="e">
        <f t="shared" ref="T24:W25" si="2">IF($K20&gt;T$19,IF($K20&lt;=T$20,$K20,NA()),NA())</f>
        <v>#N/A</v>
      </c>
      <c r="U24" s="67" t="e">
        <f t="shared" si="2"/>
        <v>#N/A</v>
      </c>
      <c r="V24" s="67" t="e">
        <f t="shared" si="2"/>
        <v>#N/A</v>
      </c>
      <c r="W24" s="67" t="e">
        <f t="shared" si="2"/>
        <v>#N/A</v>
      </c>
      <c r="X24" s="67" t="e">
        <f>IF($K20&gt;X$19,IF($K20&lt;=X$20,1,1),NA())</f>
        <v>#N/A</v>
      </c>
      <c r="Y24" s="71"/>
      <c r="Z24" s="194"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63" customHeight="1">
      <c r="A25" s="3"/>
      <c r="B25" s="869"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70"/>
      <c r="D25" s="871"/>
      <c r="E25" s="548">
        <v>0.83</v>
      </c>
      <c r="F25" s="509">
        <v>0.79100000000000004</v>
      </c>
      <c r="G25" s="849">
        <f>F25/E25</f>
        <v>0.95301204819277119</v>
      </c>
      <c r="H25" s="850"/>
      <c r="I25" s="850"/>
      <c r="J25" s="850"/>
      <c r="K25" s="851"/>
      <c r="L25" s="852" t="s">
        <v>526</v>
      </c>
      <c r="M25" s="852"/>
      <c r="N25" s="852"/>
      <c r="O25" s="852"/>
      <c r="P25" s="852"/>
      <c r="Q25" s="852"/>
      <c r="S25" s="69"/>
      <c r="T25" s="67" t="e">
        <f t="shared" si="2"/>
        <v>#N/A</v>
      </c>
      <c r="U25" s="67" t="e">
        <f t="shared" si="2"/>
        <v>#N/A</v>
      </c>
      <c r="V25" s="67" t="e">
        <f t="shared" si="2"/>
        <v>#N/A</v>
      </c>
      <c r="W25" s="67" t="e">
        <f t="shared" si="2"/>
        <v>#N/A</v>
      </c>
      <c r="X25" s="67" t="e">
        <f>IF($K21&gt;X$19,IF($K21&lt;=X$20,1,1),NA())</f>
        <v>#N/A</v>
      </c>
      <c r="Y25" s="71"/>
      <c r="Z25" s="194"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48">
        <f>+'Introducerea datelor'!B136</f>
        <v>0</v>
      </c>
      <c r="C26" s="848"/>
      <c r="D26" s="848"/>
      <c r="E26" s="469" t="s">
        <v>407</v>
      </c>
      <c r="F26" s="470">
        <v>50.2</v>
      </c>
      <c r="G26" s="849">
        <v>0.63</v>
      </c>
      <c r="H26" s="850"/>
      <c r="I26" s="850"/>
      <c r="J26" s="850"/>
      <c r="K26" s="851"/>
      <c r="L26" s="864" t="s">
        <v>408</v>
      </c>
      <c r="M26" s="865"/>
      <c r="N26" s="865"/>
      <c r="O26" s="865"/>
      <c r="P26" s="865"/>
      <c r="Q26" s="865"/>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74">
        <f>+'Introducerea datelor'!B138</f>
        <v>0</v>
      </c>
      <c r="C27" s="870"/>
      <c r="D27" s="871"/>
      <c r="E27" s="469">
        <v>2323</v>
      </c>
      <c r="F27" s="470">
        <v>2307</v>
      </c>
      <c r="G27" s="849">
        <f t="shared" ref="G27" si="3">+IF(ISERROR(F27/E27),0,F27/E27)</f>
        <v>0.99311235471373227</v>
      </c>
      <c r="H27" s="850"/>
      <c r="I27" s="850"/>
      <c r="J27" s="850"/>
      <c r="K27" s="851"/>
      <c r="L27" s="865" t="s">
        <v>409</v>
      </c>
      <c r="M27" s="865"/>
      <c r="N27" s="865"/>
      <c r="O27" s="865"/>
      <c r="P27" s="865"/>
      <c r="Q27" s="865"/>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72"/>
      <c r="C28" s="872"/>
      <c r="D28" s="872"/>
      <c r="E28" s="873"/>
      <c r="F28" s="862"/>
      <c r="G28" s="863"/>
      <c r="H28" s="863"/>
      <c r="I28" s="863"/>
      <c r="J28" s="863"/>
      <c r="K28" s="873"/>
      <c r="L28" s="862"/>
      <c r="M28" s="863"/>
      <c r="N28" s="863"/>
      <c r="O28" s="863"/>
      <c r="P28" s="863"/>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4"/>
      <c r="C29" s="224"/>
      <c r="D29" s="224"/>
      <c r="E29" s="224"/>
      <c r="F29" s="224"/>
      <c r="G29" s="224"/>
      <c r="H29" s="225"/>
      <c r="I29" s="224"/>
      <c r="J29" s="224"/>
      <c r="K29" s="224"/>
      <c r="L29" s="224"/>
      <c r="M29" s="224"/>
      <c r="N29" s="224"/>
      <c r="O29" s="224"/>
      <c r="P29" s="224"/>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68"/>
      <c r="C30" s="868"/>
      <c r="D30" s="868"/>
      <c r="E30" s="868"/>
      <c r="F30" s="868"/>
      <c r="G30" s="868"/>
      <c r="H30" s="868"/>
      <c r="I30" s="868"/>
      <c r="J30" s="868"/>
      <c r="K30" s="868"/>
      <c r="L30" s="224"/>
      <c r="M30" s="224"/>
      <c r="N30" s="224"/>
      <c r="O30" s="224"/>
      <c r="P30" s="224"/>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68"/>
      <c r="C31" s="868"/>
      <c r="D31" s="868"/>
      <c r="E31" s="868"/>
      <c r="F31" s="868"/>
      <c r="G31" s="868"/>
      <c r="H31" s="868"/>
      <c r="I31" s="868"/>
      <c r="J31" s="868"/>
      <c r="K31" s="868"/>
      <c r="L31" s="224"/>
      <c r="M31" s="224"/>
      <c r="N31" s="224"/>
      <c r="O31" s="224"/>
      <c r="P31" s="224"/>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2"/>
      <c r="J33" s="143"/>
      <c r="K33" s="143"/>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4"/>
      <c r="J34" s="145"/>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6"/>
      <c r="J35" s="145"/>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M9:Q9"/>
    <mergeCell ref="C3:D3"/>
    <mergeCell ref="E4:L4"/>
    <mergeCell ref="B8:E8"/>
    <mergeCell ref="F8:K8"/>
    <mergeCell ref="C9:E9"/>
    <mergeCell ref="G9:K9"/>
    <mergeCell ref="B2:Q2"/>
    <mergeCell ref="O3:P3"/>
    <mergeCell ref="D5:N5"/>
    <mergeCell ref="L8:Q8"/>
    <mergeCell ref="F6:K6"/>
    <mergeCell ref="E3:K3"/>
    <mergeCell ref="C4:D4"/>
    <mergeCell ref="B30:D31"/>
    <mergeCell ref="E30:G31"/>
    <mergeCell ref="H30:K31"/>
    <mergeCell ref="B25:D25"/>
    <mergeCell ref="G25:K25"/>
    <mergeCell ref="B28:E28"/>
    <mergeCell ref="F28:K28"/>
    <mergeCell ref="G26:K26"/>
    <mergeCell ref="G27:K27"/>
    <mergeCell ref="B26:D26"/>
    <mergeCell ref="B27:D27"/>
    <mergeCell ref="L28:P28"/>
    <mergeCell ref="L20:Q20"/>
    <mergeCell ref="L21:Q21"/>
    <mergeCell ref="L23:Q23"/>
    <mergeCell ref="L26:Q26"/>
    <mergeCell ref="L25:Q25"/>
    <mergeCell ref="L27:Q27"/>
    <mergeCell ref="L22:Q22"/>
    <mergeCell ref="E18:K18"/>
    <mergeCell ref="B19:D19"/>
    <mergeCell ref="B20:D20"/>
    <mergeCell ref="B21:D21"/>
    <mergeCell ref="G20:K20"/>
    <mergeCell ref="G21:K21"/>
    <mergeCell ref="B24:D24"/>
    <mergeCell ref="G24:K24"/>
    <mergeCell ref="L24:Q24"/>
    <mergeCell ref="B23:D23"/>
    <mergeCell ref="G19:H19"/>
    <mergeCell ref="I19:J19"/>
    <mergeCell ref="G23:K23"/>
    <mergeCell ref="G22:K22"/>
    <mergeCell ref="L19:Q19"/>
    <mergeCell ref="B22:D22"/>
  </mergeCells>
  <phoneticPr fontId="30" type="noConversion"/>
  <conditionalFormatting sqref="C4:D4">
    <cfRule type="cellIs" dxfId="14" priority="83" stopIfTrue="1" operator="equal">
      <formula>"C"</formula>
    </cfRule>
    <cfRule type="cellIs" dxfId="13" priority="84" stopIfTrue="1" operator="equal">
      <formula>"B2"</formula>
    </cfRule>
    <cfRule type="cellIs" dxfId="12" priority="85" stopIfTrue="1" operator="equal">
      <formula>"B1"</formula>
    </cfRule>
  </conditionalFormatting>
  <conditionalFormatting sqref="G20:G21 G26:G27">
    <cfRule type="cellIs" dxfId="11" priority="89" stopIfTrue="1" operator="between">
      <formula>0</formula>
      <formula>0.599</formula>
    </cfRule>
    <cfRule type="cellIs" dxfId="10" priority="90" stopIfTrue="1" operator="between">
      <formula>0.6</formula>
      <formula>0.899</formula>
    </cfRule>
    <cfRule type="cellIs" dxfId="9" priority="91" stopIfTrue="1" operator="greaterThanOrEqual">
      <formula>0.9</formula>
    </cfRule>
  </conditionalFormatting>
  <conditionalFormatting sqref="G22:G25">
    <cfRule type="cellIs" dxfId="8" priority="25" stopIfTrue="1" operator="between">
      <formula>0</formula>
      <formula>0.599</formula>
    </cfRule>
    <cfRule type="cellIs" dxfId="7" priority="26" stopIfTrue="1" operator="between">
      <formula>0.6</formula>
      <formula>0.899</formula>
    </cfRule>
    <cfRule type="cellIs" dxfId="6" priority="27"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0"/>
  <sheetViews>
    <sheetView showGridLines="0" view="pageBreakPreview" zoomScale="130" zoomScaleNormal="130" zoomScaleSheetLayoutView="130" zoomScalePageLayoutView="40" workbookViewId="0">
      <selection activeCell="Q11" sqref="Q11"/>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0.42578125" style="31" customWidth="1"/>
    <col min="10" max="10" width="3.5703125" style="31" customWidth="1"/>
    <col min="11" max="11" width="4.140625" style="32" customWidth="1"/>
    <col min="12" max="12" width="19.85546875" style="31" customWidth="1"/>
    <col min="13" max="13" width="12" style="31" customWidth="1"/>
    <col min="14" max="14" width="14.28515625" style="31" customWidth="1"/>
    <col min="15" max="15" width="2.5703125" style="31" customWidth="1"/>
    <col min="16" max="16384" width="9.140625" style="31"/>
  </cols>
  <sheetData>
    <row r="1" spans="1:15" ht="27" customHeight="1">
      <c r="A1" s="148"/>
      <c r="B1" s="148"/>
      <c r="C1" s="148"/>
      <c r="D1" s="148"/>
      <c r="E1" s="148"/>
      <c r="F1" s="148"/>
      <c r="G1" s="148"/>
      <c r="H1" s="148"/>
      <c r="I1" s="148"/>
      <c r="J1" s="148"/>
      <c r="K1" s="149"/>
      <c r="L1" s="148"/>
      <c r="M1" s="148"/>
      <c r="N1" s="148"/>
    </row>
    <row r="2" spans="1:15" customFormat="1" ht="27.75" customHeight="1">
      <c r="A2" s="3"/>
      <c r="B2" s="875" t="str">
        <f>+"Dashboard:  "&amp;"  "&amp;IF(+'Introducerea datelor'!C4="Please Select","",'Introducerea datelor'!C4&amp;" - ")&amp;IF('Introducerea datelor'!G6="Please Select","",'Introducerea datelor'!G6)</f>
        <v>Dashboard:    Moldova - HIV / AIDS</v>
      </c>
      <c r="C2" s="875"/>
      <c r="D2" s="875"/>
      <c r="E2" s="875"/>
      <c r="F2" s="875"/>
      <c r="G2" s="875"/>
      <c r="H2" s="875"/>
      <c r="I2" s="875"/>
      <c r="J2" s="875"/>
      <c r="K2" s="875"/>
      <c r="L2" s="875"/>
      <c r="M2" s="875"/>
      <c r="N2" s="875"/>
      <c r="O2" s="73"/>
    </row>
    <row r="3" spans="1:15" customFormat="1" ht="18.75">
      <c r="A3" s="3"/>
      <c r="B3" s="130" t="str">
        <f>+IF('Introducerea datelor'!G8="Please Select","",'Introducerea datelor'!G8)</f>
        <v/>
      </c>
      <c r="C3" s="798">
        <f>+IF('Introducerea datelor'!I8="Please Select","",'Introducerea datelor'!I8)</f>
        <v>0</v>
      </c>
      <c r="D3" s="798"/>
      <c r="E3" s="879"/>
      <c r="F3" s="879"/>
      <c r="G3" s="879"/>
      <c r="H3" s="879"/>
      <c r="I3" s="879"/>
      <c r="J3" s="879"/>
      <c r="K3" s="879"/>
      <c r="L3" s="130" t="str">
        <f>+'Introducerea datelor'!B16</f>
        <v>Perioada de Raportare:</v>
      </c>
      <c r="M3" s="196" t="str">
        <f>+'Introducerea datelor'!C16</f>
        <v>P6</v>
      </c>
      <c r="N3" s="196"/>
      <c r="O3" s="31"/>
    </row>
    <row r="4" spans="1:15" customFormat="1" ht="15">
      <c r="A4" s="3"/>
      <c r="B4" s="130" t="str">
        <f>+'Introducerea datelor'!B12</f>
        <v>Ultimul Rating:</v>
      </c>
      <c r="C4" s="942" t="str">
        <f>+IF('Introducerea datelor'!C12="Please Select","",'Introducerea datelor'!C12)</f>
        <v>A2</v>
      </c>
      <c r="D4" s="942"/>
      <c r="E4" s="797" t="str">
        <f>+'Introducerea datelor'!C8</f>
        <v>IP "UCIMP DS"</v>
      </c>
      <c r="F4" s="797"/>
      <c r="G4" s="797"/>
      <c r="H4" s="797"/>
      <c r="I4" s="797"/>
      <c r="J4" s="797"/>
      <c r="K4" s="797"/>
      <c r="L4" s="130" t="str">
        <f>+'Introducerea datelor'!D16</f>
        <v>De la:</v>
      </c>
      <c r="M4" s="197">
        <f>+IF(ISBLANK('Introducerea datelor'!E16),"",'Introducerea datelor'!E16)</f>
        <v>42917</v>
      </c>
      <c r="N4" s="197"/>
      <c r="O4" s="31"/>
    </row>
    <row r="5" spans="1:15" customFormat="1" ht="18.75" customHeight="1">
      <c r="A5" s="3"/>
      <c r="B5" s="130"/>
      <c r="C5" s="130"/>
      <c r="D5" s="131"/>
      <c r="E5" s="797" t="str">
        <f>+'Introducerea datelor'!G4</f>
        <v xml:space="preserve">Fortificarea controlului infecției HIV în RM (2015-2017)
</v>
      </c>
      <c r="F5" s="797"/>
      <c r="G5" s="797"/>
      <c r="H5" s="797"/>
      <c r="I5" s="797"/>
      <c r="J5" s="797"/>
      <c r="K5" s="797"/>
      <c r="L5" s="130" t="str">
        <f>+'Introducerea datelor'!F16</f>
        <v>Pînă la:</v>
      </c>
      <c r="M5" s="197">
        <f>+IF(ISBLANK('Introducerea datelor'!G16),"",'Introducerea datelor'!G16)</f>
        <v>43100</v>
      </c>
      <c r="N5" s="197"/>
    </row>
    <row r="6" spans="1:15" customFormat="1" ht="22.5" customHeight="1">
      <c r="A6" s="3"/>
      <c r="B6" s="135"/>
      <c r="C6" s="136"/>
      <c r="D6" s="137"/>
      <c r="E6" s="941" t="s">
        <v>475</v>
      </c>
      <c r="F6" s="941"/>
      <c r="G6" s="941"/>
      <c r="H6" s="941"/>
      <c r="I6" s="941"/>
      <c r="J6" s="941"/>
      <c r="K6" s="941"/>
      <c r="L6" s="2"/>
      <c r="M6" s="2"/>
      <c r="N6" s="2"/>
    </row>
    <row r="7" spans="1:15" s="33" customFormat="1" ht="4.5" customHeight="1">
      <c r="A7" s="150"/>
      <c r="B7" s="151"/>
      <c r="C7" s="151"/>
      <c r="D7" s="151"/>
      <c r="E7" s="151"/>
      <c r="F7" s="151"/>
      <c r="G7" s="151"/>
      <c r="H7" s="151"/>
      <c r="I7" s="151"/>
      <c r="J7" s="151"/>
      <c r="K7" s="151"/>
      <c r="L7" s="152"/>
      <c r="M7" s="152"/>
      <c r="N7" s="153"/>
    </row>
    <row r="8" spans="1:15" s="33" customFormat="1" ht="21" customHeight="1" thickBot="1">
      <c r="A8" s="150"/>
      <c r="B8" s="907" t="s">
        <v>476</v>
      </c>
      <c r="C8" s="907"/>
      <c r="D8" s="907"/>
      <c r="E8" s="907"/>
      <c r="F8" s="907"/>
      <c r="G8" s="907"/>
      <c r="H8" s="907"/>
      <c r="I8" s="907"/>
      <c r="J8" s="907"/>
      <c r="K8" s="907"/>
      <c r="L8" s="907"/>
      <c r="M8" s="907"/>
      <c r="N8" s="907"/>
    </row>
    <row r="9" spans="1:15" s="33" customFormat="1" ht="3.75" customHeight="1" thickBot="1">
      <c r="A9" s="150"/>
      <c r="B9" s="151"/>
      <c r="C9" s="151"/>
      <c r="D9" s="151"/>
      <c r="E9" s="151"/>
      <c r="F9" s="151"/>
      <c r="G9" s="151"/>
      <c r="H9" s="151"/>
      <c r="I9" s="151"/>
      <c r="J9" s="151"/>
      <c r="K9" s="151"/>
      <c r="L9" s="152"/>
      <c r="M9" s="152"/>
      <c r="N9" s="153"/>
    </row>
    <row r="10" spans="1:15" s="34" customFormat="1" ht="25.5" customHeight="1" thickBot="1">
      <c r="A10" s="154"/>
      <c r="B10" s="890" t="s">
        <v>478</v>
      </c>
      <c r="C10" s="928"/>
      <c r="D10" s="922" t="s">
        <v>477</v>
      </c>
      <c r="E10" s="923"/>
      <c r="F10" s="923"/>
      <c r="G10" s="924"/>
      <c r="H10" s="157"/>
      <c r="I10" s="922" t="s">
        <v>475</v>
      </c>
      <c r="J10" s="923"/>
      <c r="K10" s="923"/>
      <c r="L10" s="923"/>
      <c r="M10" s="923"/>
      <c r="N10" s="924"/>
    </row>
    <row r="11" spans="1:15" s="34" customFormat="1" ht="23.25" customHeight="1">
      <c r="A11" s="154"/>
      <c r="B11" s="413" t="s">
        <v>71</v>
      </c>
      <c r="C11" s="174"/>
      <c r="D11" s="908" t="str">
        <f>IF(ISBLANK(Financiar!C9),"",(Financiar!C9))</f>
        <v xml:space="preserve">conform planului si cererii de debursare </v>
      </c>
      <c r="E11" s="908"/>
      <c r="F11" s="908"/>
      <c r="G11" s="909"/>
      <c r="H11" s="180"/>
      <c r="I11" s="932"/>
      <c r="J11" s="933"/>
      <c r="K11" s="933"/>
      <c r="L11" s="933"/>
      <c r="M11" s="933"/>
      <c r="N11" s="934"/>
    </row>
    <row r="12" spans="1:15" s="34" customFormat="1" ht="130.5" customHeight="1">
      <c r="A12" s="154"/>
      <c r="B12" s="414" t="s">
        <v>72</v>
      </c>
      <c r="C12" s="175"/>
      <c r="D12" s="908" t="str">
        <f>IF(ISBLANK(Financiar!C23),"",(Financiar!C23))</f>
        <v xml:space="preserve">Către 31 decembrie 2017, din Grantul „Fortificarea Controlului HIV în Republica Moldova al Fondului Global (nr.: MDA-H-PCIMU) au fost valorificați cumulativ 3.502.234 EUR, ceea ce constituie 109% din totalul de 3.212.688 EUR planificați pentru perioada ianuarie 2015 – decembrie 2017 (perioada grantului implementat prin Noul Mecanism de Finanțare al Fondului Global).  Variația totală de 289,546 EUR fiind în special condiționată de supracheltuieli cu realizarea angajamentelor din faza II a grantului consolidat din soldul ramas din grantul anterior. 
   </v>
      </c>
      <c r="E12" s="908"/>
      <c r="F12" s="908"/>
      <c r="G12" s="909"/>
      <c r="H12" s="180"/>
      <c r="I12" s="929"/>
      <c r="J12" s="930"/>
      <c r="K12" s="930"/>
      <c r="L12" s="930"/>
      <c r="M12" s="930"/>
      <c r="N12" s="931"/>
    </row>
    <row r="13" spans="1:15" s="34" customFormat="1" ht="18" customHeight="1">
      <c r="A13" s="154"/>
      <c r="B13" s="414" t="s">
        <v>73</v>
      </c>
      <c r="C13" s="175"/>
      <c r="D13" s="908" t="str">
        <f>IF(ISBLANK(Financiar!I9),"",(Financiar!I9))</f>
        <v xml:space="preserve">conform cererii de debursare din partea RP </v>
      </c>
      <c r="E13" s="908"/>
      <c r="F13" s="908"/>
      <c r="G13" s="909"/>
      <c r="H13" s="180"/>
      <c r="I13" s="929"/>
      <c r="J13" s="930"/>
      <c r="K13" s="930"/>
      <c r="L13" s="930"/>
      <c r="M13" s="930"/>
      <c r="N13" s="931"/>
    </row>
    <row r="14" spans="1:15" s="34" customFormat="1" ht="55.5" customHeight="1" thickBot="1">
      <c r="A14" s="154"/>
      <c r="B14" s="415" t="s">
        <v>74</v>
      </c>
      <c r="C14" s="176"/>
      <c r="D14" s="949" t="str">
        <f>IF(ISBLANK(Financiar!I23),"",(Financiar!I23))</f>
        <v xml:space="preserve">Raportul de Progres privind implementarea grantului NFM in Semestrul II 2016 a fost remis Fondului Global  spre examinare si aprobare la data de 22 martie 2017 (perioada de prezentare a PUDR a fost extinsă în legătură cu modificarea, de către organizația donatoare, a formelor de raportare). </v>
      </c>
      <c r="E14" s="949"/>
      <c r="F14" s="949"/>
      <c r="G14" s="950"/>
      <c r="H14" s="180"/>
      <c r="I14" s="946"/>
      <c r="J14" s="947"/>
      <c r="K14" s="947"/>
      <c r="L14" s="947"/>
      <c r="M14" s="947"/>
      <c r="N14" s="948"/>
    </row>
    <row r="15" spans="1:15" s="34" customFormat="1" ht="4.5" customHeight="1">
      <c r="A15" s="154"/>
      <c r="B15" s="177"/>
      <c r="C15" s="178"/>
      <c r="D15" s="179"/>
      <c r="E15" s="179"/>
      <c r="F15" s="179"/>
      <c r="G15" s="179"/>
      <c r="H15" s="180"/>
      <c r="I15" s="181"/>
      <c r="J15" s="181"/>
      <c r="K15" s="181"/>
      <c r="L15" s="181"/>
      <c r="M15" s="181"/>
      <c r="N15" s="181"/>
      <c r="O15" s="75"/>
    </row>
    <row r="16" spans="1:15" s="33" customFormat="1" ht="21" customHeight="1" thickBot="1">
      <c r="A16" s="150"/>
      <c r="B16" s="907" t="s">
        <v>479</v>
      </c>
      <c r="C16" s="907"/>
      <c r="D16" s="907"/>
      <c r="E16" s="907"/>
      <c r="F16" s="907"/>
      <c r="G16" s="907"/>
      <c r="H16" s="907"/>
      <c r="I16" s="907"/>
      <c r="J16" s="907"/>
      <c r="K16" s="907"/>
      <c r="L16" s="907"/>
      <c r="M16" s="907"/>
      <c r="N16" s="907"/>
    </row>
    <row r="17" spans="1:15" s="34" customFormat="1" ht="3.75" customHeight="1" thickBot="1">
      <c r="A17" s="154"/>
      <c r="B17" s="163"/>
      <c r="C17" s="164"/>
      <c r="D17" s="165"/>
      <c r="E17" s="166"/>
      <c r="F17" s="167"/>
      <c r="G17" s="167"/>
      <c r="H17" s="168"/>
      <c r="I17" s="169"/>
      <c r="J17" s="170"/>
      <c r="K17" s="159"/>
      <c r="L17" s="160"/>
      <c r="M17" s="161"/>
      <c r="N17" s="162"/>
    </row>
    <row r="18" spans="1:15" s="34" customFormat="1" ht="22.5" customHeight="1" thickBot="1">
      <c r="A18" s="154"/>
      <c r="B18" s="928" t="s">
        <v>70</v>
      </c>
      <c r="C18" s="891"/>
      <c r="D18" s="938" t="s">
        <v>477</v>
      </c>
      <c r="E18" s="939"/>
      <c r="F18" s="939"/>
      <c r="G18" s="940"/>
      <c r="H18" s="157"/>
      <c r="I18" s="935" t="s">
        <v>475</v>
      </c>
      <c r="J18" s="936"/>
      <c r="K18" s="936"/>
      <c r="L18" s="936"/>
      <c r="M18" s="937"/>
      <c r="N18" s="937"/>
    </row>
    <row r="19" spans="1:15" s="34" customFormat="1" ht="142.5" customHeight="1">
      <c r="A19" s="154"/>
      <c r="B19" s="416" t="s">
        <v>79</v>
      </c>
      <c r="C19" s="182"/>
      <c r="D19" s="913" t="str">
        <f>IF(ISBLANK(Management!C8),"",(Management!C8))</f>
        <v>Descriere: În cazul IP UCIMPDS a fost stabilită acțiunea de management care condiționează deblocarea si posibilitatea valorificarii fondurilor alocate operaționalizării sistemului informațional SIME HIV de înregistrarea SIME HIV în Registrul sistemelor informationale utilizate la prelucrarea datelor cu caracter personal,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v>
      </c>
      <c r="E19" s="913"/>
      <c r="F19" s="913"/>
      <c r="G19" s="914"/>
      <c r="H19" s="183"/>
      <c r="I19" s="925"/>
      <c r="J19" s="926"/>
      <c r="K19" s="926"/>
      <c r="L19" s="926"/>
      <c r="M19" s="926"/>
      <c r="N19" s="927"/>
    </row>
    <row r="20" spans="1:15" ht="20.25" customHeight="1">
      <c r="A20" s="148"/>
      <c r="B20" s="417" t="s">
        <v>80</v>
      </c>
      <c r="C20" s="184"/>
      <c r="D20" s="908" t="str">
        <f>IF(ISBLANK(Management!I8),"",(Management!I8))</f>
        <v>Sunt suplinite toate functiile de personal.</v>
      </c>
      <c r="E20" s="908">
        <f>+'Introducerea datelor'!D73/'Introducerea datelor'!G73</f>
        <v>0</v>
      </c>
      <c r="F20" s="908">
        <f>+('Introducerea datelor'!E73+'Introducerea datelor'!F73)/'Introducerea datelor'!G73</f>
        <v>1</v>
      </c>
      <c r="G20" s="915"/>
      <c r="H20" s="183"/>
      <c r="I20" s="892"/>
      <c r="J20" s="893"/>
      <c r="K20" s="893"/>
      <c r="L20" s="893"/>
      <c r="M20" s="893"/>
      <c r="N20" s="894"/>
      <c r="O20" s="35"/>
    </row>
    <row r="21" spans="1:15" ht="20.25" customHeight="1">
      <c r="A21" s="148"/>
      <c r="B21" s="418" t="s">
        <v>81</v>
      </c>
      <c r="C21" s="184"/>
      <c r="D21" s="908" t="str">
        <f>IF(ISBLANK(Management!C15),"",(Management!C15))</f>
        <v>n/a</v>
      </c>
      <c r="E21" s="908"/>
      <c r="F21" s="908"/>
      <c r="G21" s="915"/>
      <c r="H21" s="183"/>
      <c r="I21" s="892"/>
      <c r="J21" s="893"/>
      <c r="K21" s="893"/>
      <c r="L21" s="893"/>
      <c r="M21" s="893"/>
      <c r="N21" s="894"/>
      <c r="O21" s="35"/>
    </row>
    <row r="22" spans="1:15" ht="20.25" customHeight="1">
      <c r="A22" s="148"/>
      <c r="B22" s="418" t="s">
        <v>82</v>
      </c>
      <c r="C22" s="184"/>
      <c r="D22" s="908" t="str">
        <f>IF(ISBLANK(Management!I15),"",(Management!I15))</f>
        <v>n/a</v>
      </c>
      <c r="E22" s="908"/>
      <c r="F22" s="908"/>
      <c r="G22" s="915"/>
      <c r="H22" s="183"/>
      <c r="I22" s="892"/>
      <c r="J22" s="893"/>
      <c r="K22" s="893"/>
      <c r="L22" s="893"/>
      <c r="M22" s="893"/>
      <c r="N22" s="894"/>
      <c r="O22" s="35"/>
    </row>
    <row r="23" spans="1:15" ht="75.75" customHeight="1">
      <c r="A23" s="148"/>
      <c r="B23" s="418" t="s">
        <v>83</v>
      </c>
      <c r="C23" s="184"/>
      <c r="D23" s="908" t="str">
        <f>IF(ISBLANK(Management!C26),"",(Management!C26))</f>
        <v xml:space="preserve">Preparatele ARV pentru a. 2017 si 6 luni ale a. 2018 au fost livrarte conform graficului stabiliti. Aparatele aditionale GeneXpert pentru testarea pacientilor la incarcatura virala, au fost livrate în trimestrul IV a.c. Reagentii necesari acoperirii necesitatilor a. 2017 privind monitorizarea pacientilor infectati cu HIV au fost achizitionati, livrarile fiind efectuate in termenii solicitati de institutiile beneficiare. </v>
      </c>
      <c r="E23" s="908"/>
      <c r="F23" s="908"/>
      <c r="G23" s="915"/>
      <c r="H23" s="183"/>
      <c r="I23" s="892"/>
      <c r="J23" s="893"/>
      <c r="K23" s="893"/>
      <c r="L23" s="893"/>
      <c r="M23" s="893"/>
      <c r="N23" s="894"/>
      <c r="O23" s="35"/>
    </row>
    <row r="24" spans="1:15" ht="19.5" customHeight="1" thickBot="1">
      <c r="A24" s="148"/>
      <c r="B24" s="419" t="s">
        <v>84</v>
      </c>
      <c r="C24" s="185"/>
      <c r="D24" s="917" t="str">
        <f>IF(ISBLANK(Management!I26),"",(Management!I26))</f>
        <v>Nu au fost inregistrate lipsuri de medicamente ARV sau intreruperi de tratament.</v>
      </c>
      <c r="E24" s="917"/>
      <c r="F24" s="917"/>
      <c r="G24" s="918"/>
      <c r="H24" s="183"/>
      <c r="I24" s="943"/>
      <c r="J24" s="944"/>
      <c r="K24" s="944"/>
      <c r="L24" s="944"/>
      <c r="M24" s="944"/>
      <c r="N24" s="945"/>
      <c r="O24" s="35"/>
    </row>
    <row r="25" spans="1:15" ht="4.5" customHeight="1">
      <c r="A25" s="150"/>
      <c r="B25" s="155"/>
      <c r="C25" s="156"/>
      <c r="D25" s="171"/>
      <c r="E25" s="172"/>
      <c r="F25" s="173"/>
      <c r="G25" s="173"/>
      <c r="H25" s="157"/>
      <c r="I25" s="172"/>
      <c r="J25" s="158"/>
      <c r="K25" s="159"/>
      <c r="L25" s="160"/>
      <c r="M25" s="161"/>
      <c r="N25" s="162"/>
      <c r="O25" s="35"/>
    </row>
    <row r="26" spans="1:15" s="33" customFormat="1" ht="21" customHeight="1" thickBot="1">
      <c r="A26" s="150"/>
      <c r="B26" s="907" t="s">
        <v>480</v>
      </c>
      <c r="C26" s="907"/>
      <c r="D26" s="907"/>
      <c r="E26" s="907"/>
      <c r="F26" s="907"/>
      <c r="G26" s="907"/>
      <c r="H26" s="907"/>
      <c r="I26" s="907"/>
      <c r="J26" s="907"/>
      <c r="K26" s="907"/>
      <c r="L26" s="907"/>
      <c r="M26" s="907"/>
      <c r="N26" s="907"/>
    </row>
    <row r="27" spans="1:15" ht="10.5" customHeight="1" thickBot="1">
      <c r="A27" s="150"/>
      <c r="B27" s="155"/>
      <c r="C27" s="156"/>
      <c r="D27" s="171"/>
      <c r="E27" s="172"/>
      <c r="F27" s="173"/>
      <c r="G27" s="173"/>
      <c r="H27" s="157"/>
      <c r="I27" s="172"/>
      <c r="J27" s="158"/>
      <c r="K27" s="159"/>
      <c r="L27" s="160"/>
      <c r="M27" s="161"/>
      <c r="N27" s="162"/>
      <c r="O27" s="35"/>
    </row>
    <row r="28" spans="1:15" ht="21.75" customHeight="1" thickBot="1">
      <c r="A28" s="148"/>
      <c r="B28" s="890" t="s">
        <v>2</v>
      </c>
      <c r="C28" s="891"/>
      <c r="D28" s="898" t="s">
        <v>481</v>
      </c>
      <c r="E28" s="899"/>
      <c r="F28" s="899"/>
      <c r="G28" s="900"/>
      <c r="H28" s="157"/>
      <c r="I28" s="898" t="s">
        <v>475</v>
      </c>
      <c r="J28" s="899"/>
      <c r="K28" s="899"/>
      <c r="L28" s="899"/>
      <c r="M28" s="899"/>
      <c r="N28" s="900"/>
      <c r="O28" s="35"/>
    </row>
    <row r="29" spans="1:15" ht="30.75" customHeight="1">
      <c r="A29" s="148"/>
      <c r="B29" s="420" t="s">
        <v>258</v>
      </c>
      <c r="C29" s="186"/>
      <c r="D29" s="901" t="str">
        <f>IF(ISBLANK(Programatic!C9),"",(Programatic!C9))</f>
        <v xml:space="preserve">Indicatorul este pentru a. 2017, raportabil catre 15.08.2018.
</v>
      </c>
      <c r="E29" s="902"/>
      <c r="F29" s="902"/>
      <c r="G29" s="903"/>
      <c r="H29" s="183"/>
      <c r="I29" s="919"/>
      <c r="J29" s="920"/>
      <c r="K29" s="920"/>
      <c r="L29" s="920"/>
      <c r="M29" s="920"/>
      <c r="N29" s="921"/>
      <c r="O29" s="35"/>
    </row>
    <row r="30" spans="1:15" ht="47.25" customHeight="1">
      <c r="A30" s="148"/>
      <c r="B30" s="421" t="s">
        <v>259</v>
      </c>
      <c r="C30" s="187"/>
      <c r="D30" s="916" t="str">
        <f>IF(ISBLANK(Programatic!G9),"",(Programatic!G9))</f>
        <v>117 din cele 125 femei infectate cu HIV care au nascut in semestrul II 2017 au beneficiat de TARV in vederea reducerii riscului de transmitere materno-fetala a infectiei (93.6%). Nivelul de realizare a tintei - 99%.</v>
      </c>
      <c r="E30" s="896"/>
      <c r="F30" s="896"/>
      <c r="G30" s="897"/>
      <c r="H30" s="183"/>
      <c r="I30" s="887"/>
      <c r="J30" s="888"/>
      <c r="K30" s="888"/>
      <c r="L30" s="888"/>
      <c r="M30" s="888"/>
      <c r="N30" s="889"/>
      <c r="O30" s="35"/>
    </row>
    <row r="31" spans="1:15" ht="41.25" customHeight="1">
      <c r="A31" s="148"/>
      <c r="B31" s="421" t="s">
        <v>260</v>
      </c>
      <c r="C31" s="187"/>
      <c r="D31" s="916" t="str">
        <f>IF(ISBLANK(Programatic!M9),"",(Programatic!M9))</f>
        <v>5.162 adulti si copii erau in TARV la finele anului 2017, inclusiv 3.640 - pe malul drept si 1.522 - in Transnistria. Nivelul de realizare a tintei - 85%.</v>
      </c>
      <c r="E31" s="896"/>
      <c r="F31" s="896"/>
      <c r="G31" s="897"/>
      <c r="H31" s="183"/>
      <c r="I31" s="887"/>
      <c r="J31" s="888"/>
      <c r="K31" s="888"/>
      <c r="L31" s="888"/>
      <c r="M31" s="888"/>
      <c r="N31" s="889"/>
      <c r="O31" s="35"/>
    </row>
    <row r="32" spans="1:15" ht="45" customHeight="1">
      <c r="A32" s="148"/>
      <c r="B32" s="422" t="s">
        <v>75</v>
      </c>
      <c r="C32" s="187"/>
      <c r="D32" s="895" t="str">
        <f>IF(ISBLANK(Programatic!L20),"",(Programatic!L20))</f>
        <v>Indicatorul este pentru a. 2017, raportabil catre 15.08.2018.</v>
      </c>
      <c r="E32" s="896"/>
      <c r="F32" s="896"/>
      <c r="G32" s="897"/>
      <c r="H32" s="183"/>
      <c r="I32" s="887"/>
      <c r="J32" s="888"/>
      <c r="K32" s="888"/>
      <c r="L32" s="888"/>
      <c r="M32" s="888"/>
      <c r="N32" s="889"/>
      <c r="O32" s="35"/>
    </row>
    <row r="33" spans="1:15" ht="102" customHeight="1">
      <c r="A33" s="148"/>
      <c r="B33" s="422" t="s">
        <v>76</v>
      </c>
      <c r="C33" s="187"/>
      <c r="D33" s="895" t="str">
        <f>IF(ISBLANK(Programatic!L21),"",(Programatic!L21))</f>
        <v xml:space="preserve">117 din cele 125 femei infectate cu HIV care au nascut in semestrul II 2017 au beneficiat de TARV in vederea reducerii riscului de transmitere materno-fetala a infectiei (93.6%). Nivelul de realizare a tintei - 99%.
Dezagregarea indicatorului pe tip de regim este urmatoarea: 
- TARV pe viata inclusiv optiunea B+ (nou-initiate pe parcursul perioadei curente de sarcina): 40.2% (47/117)                                                                                                                 - TARV pe viata inclusiv optiunea B + (deja in TARV la inceputul sarcinii curente): 58.1% (38/117)                                                                                                       
- Doza singulara de NVP (profilaxia de urgenta, in nastere): 1.7% (2/117) 
                                                                                                                                                                               Copii nascuti de femei HIV+ primesc TARV profilactic si formula de lapte praf timp de 12 luni. 
Activitatile ce tin de acest indicator sunt partial sustinute din Grantul curent. </v>
      </c>
      <c r="E33" s="896"/>
      <c r="F33" s="896"/>
      <c r="G33" s="897"/>
      <c r="H33" s="183"/>
      <c r="I33" s="887"/>
      <c r="J33" s="888"/>
      <c r="K33" s="888"/>
      <c r="L33" s="888"/>
      <c r="M33" s="888"/>
      <c r="N33" s="889"/>
      <c r="O33" s="35"/>
    </row>
    <row r="34" spans="1:15" ht="45.75" customHeight="1">
      <c r="A34" s="148"/>
      <c r="B34" s="422" t="s">
        <v>77</v>
      </c>
      <c r="C34" s="187"/>
      <c r="D34" s="895" t="str">
        <f>IF(ISBLANK(Programatic!L22),"",(Programatic!L22))</f>
        <v>Din cei 127 copii nascuti de femei HIV+ care au atins varsta de 2 luni pe parcursul semestrului II 2017 (i.e. nascuti in perioada 01.05.2017 - 01.11.2017), 120 au fost testati la HIV in primele 2 luni de la nastere.</v>
      </c>
      <c r="E34" s="896"/>
      <c r="F34" s="896"/>
      <c r="G34" s="897"/>
      <c r="H34" s="183"/>
      <c r="I34" s="887"/>
      <c r="J34" s="888"/>
      <c r="K34" s="888"/>
      <c r="L34" s="888"/>
      <c r="M34" s="888"/>
      <c r="N34" s="889"/>
      <c r="O34" s="35"/>
    </row>
    <row r="35" spans="1:15" ht="138.75" customHeight="1">
      <c r="A35" s="148"/>
      <c r="B35" s="422" t="s">
        <v>78</v>
      </c>
      <c r="C35" s="230"/>
      <c r="D35" s="895" t="str">
        <f>IF(ISBLANK(Programatic!L23),"",(Programatic!L23))</f>
        <v>Numărul pacienților în terapie ARV la 31.12.2017 a fost de 5.162 dintre care: 3.640 - pe malul drept (3.545 adulți și 95 copii (&lt;15 ani), 1.848 bărbați și 1.792 femei) și 1.522 persoane - pe malul stâng al Nistrului, inclusiv 1.487 adulți și 35 copii, 737 bărbați și 785 femei.    
In pofida inrolarii primare in TARV a 879 pacienti pe parcursul a. 2017, regretabil, pe malul drept, aderenta la tratament ramine a fi joasa: 324 de pacienti au abandonat TARV in 2017 și 132 au decedat, inclusiv din cauza depistarii tardive. 
Activitatile in cadrul acestui indicator sunt partial acoperite de Grantul FG.</v>
      </c>
      <c r="E35" s="896"/>
      <c r="F35" s="896"/>
      <c r="G35" s="897"/>
      <c r="H35" s="183"/>
      <c r="I35" s="887"/>
      <c r="J35" s="888"/>
      <c r="K35" s="888"/>
      <c r="L35" s="888"/>
      <c r="M35" s="888"/>
      <c r="N35" s="889"/>
      <c r="O35" s="35"/>
    </row>
    <row r="36" spans="1:15" ht="75" customHeight="1">
      <c r="A36" s="148"/>
      <c r="B36" s="422" t="s">
        <v>85</v>
      </c>
      <c r="C36" s="230"/>
      <c r="D36" s="895" t="str">
        <f>IF(ISBLANK(Programatic!L24),"",(Programatic!L24))</f>
        <v>Pe parcursul anului 2017, 290 din cei 879 PTHS inrolati primar in TARV   au initiat tratamentul antiretroviral cu nivelul de celule CD4 mai mic de 200 celule/mm3, inclusiv 174 barbati si 116 femei, 221 - pe malul drept si 69 - pe malul sting.  
Dezagregare:
- Bărbați:  35,7% (174/487)
- Femei:   29,6% (116/392)</v>
      </c>
      <c r="E36" s="896"/>
      <c r="F36" s="896"/>
      <c r="G36" s="897"/>
      <c r="H36" s="183"/>
      <c r="I36" s="887"/>
      <c r="J36" s="888"/>
      <c r="K36" s="888"/>
      <c r="L36" s="888"/>
      <c r="M36" s="888"/>
      <c r="N36" s="889"/>
      <c r="O36" s="35"/>
    </row>
    <row r="37" spans="1:15" ht="132.75" customHeight="1">
      <c r="A37" s="148"/>
      <c r="B37" s="422" t="s">
        <v>86</v>
      </c>
      <c r="C37" s="230"/>
      <c r="D37" s="895" t="str">
        <f>IF(ISBLANK(Programatic!L25),"",(Programatic!L25))</f>
        <v xml:space="preserve">2.484 persoane infectate cu HIV (2.404 adulti si 80 copii) aveau incarcatura virala nedetectabila (&lt; 1000 copii/ml) dupa 12 luni de la initierea terapiei antiretrovirale, inclusiv 1.408 - pe malul drept si 1.076 - in Transnistria. </v>
      </c>
      <c r="E37" s="896"/>
      <c r="F37" s="896"/>
      <c r="G37" s="897"/>
      <c r="H37" s="183"/>
      <c r="I37" s="910"/>
      <c r="J37" s="911"/>
      <c r="K37" s="911"/>
      <c r="L37" s="911"/>
      <c r="M37" s="911"/>
      <c r="N37" s="912"/>
      <c r="O37" s="35"/>
    </row>
    <row r="38" spans="1:15" ht="150.75" hidden="1" customHeight="1">
      <c r="A38" s="148"/>
      <c r="B38" s="422" t="s">
        <v>89</v>
      </c>
      <c r="C38" s="230"/>
      <c r="D38" s="895"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896"/>
      <c r="F38" s="896"/>
      <c r="G38" s="897"/>
      <c r="H38" s="183"/>
      <c r="I38" s="887"/>
      <c r="J38" s="888"/>
      <c r="K38" s="888"/>
      <c r="L38" s="888"/>
      <c r="M38" s="888"/>
      <c r="N38" s="889"/>
      <c r="O38" s="35"/>
    </row>
    <row r="39" spans="1:15" ht="409.5" hidden="1" customHeight="1" thickBot="1">
      <c r="A39" s="148"/>
      <c r="B39" s="422" t="s">
        <v>90</v>
      </c>
      <c r="C39" s="188"/>
      <c r="D39" s="895"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896"/>
      <c r="F39" s="896"/>
      <c r="G39" s="897"/>
      <c r="H39" s="183"/>
      <c r="I39" s="904"/>
      <c r="J39" s="905"/>
      <c r="K39" s="905"/>
      <c r="L39" s="905"/>
      <c r="M39" s="905"/>
      <c r="N39" s="906"/>
      <c r="O39" s="35"/>
    </row>
    <row r="40" spans="1:15" ht="14.25">
      <c r="A40" s="148"/>
      <c r="B40" s="189"/>
      <c r="C40" s="189"/>
      <c r="D40" s="190"/>
      <c r="E40" s="148"/>
      <c r="F40" s="189"/>
      <c r="G40" s="189"/>
      <c r="H40" s="148"/>
      <c r="I40" s="191"/>
      <c r="J40" s="148"/>
      <c r="K40" s="192"/>
      <c r="L40" s="192"/>
      <c r="M40" s="192"/>
      <c r="N40" s="192"/>
      <c r="O40" s="35"/>
    </row>
  </sheetData>
  <mergeCells count="61">
    <mergeCell ref="I24:N24"/>
    <mergeCell ref="I20:N20"/>
    <mergeCell ref="B18:C18"/>
    <mergeCell ref="I13:N13"/>
    <mergeCell ref="I14:N14"/>
    <mergeCell ref="B16:N16"/>
    <mergeCell ref="D14:G14"/>
    <mergeCell ref="D22:G22"/>
    <mergeCell ref="I22:N22"/>
    <mergeCell ref="D23:G23"/>
    <mergeCell ref="D20:G20"/>
    <mergeCell ref="I21:N21"/>
    <mergeCell ref="B2:N2"/>
    <mergeCell ref="E5:K5"/>
    <mergeCell ref="E6:K6"/>
    <mergeCell ref="E3:K3"/>
    <mergeCell ref="C4:D4"/>
    <mergeCell ref="E4:K4"/>
    <mergeCell ref="C3:D3"/>
    <mergeCell ref="I10:N10"/>
    <mergeCell ref="I19:N19"/>
    <mergeCell ref="B10:C10"/>
    <mergeCell ref="D10:G10"/>
    <mergeCell ref="D11:G11"/>
    <mergeCell ref="D12:G12"/>
    <mergeCell ref="I12:N12"/>
    <mergeCell ref="I11:N11"/>
    <mergeCell ref="I18:N18"/>
    <mergeCell ref="D18:G18"/>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I32:N3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3"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topLeftCell="A22" zoomScale="110" zoomScaleNormal="110" zoomScaleSheetLayoutView="110" workbookViewId="0">
      <selection activeCell="O14" sqref="O14"/>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38" t="str">
        <f>+"Dashboard:  "&amp;"  "&amp;IF(+'Introducerea datelor'!C4="Please Select","",'Introducerea datelor'!C4&amp;" - ")&amp;IF('Introducerea datelor'!G6="Please Select","",'Introducerea datelor'!G6)</f>
        <v>Dashboard:    Moldova - HIV / AIDS</v>
      </c>
      <c r="C2" s="838"/>
      <c r="D2" s="838"/>
      <c r="E2" s="838"/>
      <c r="F2" s="838"/>
      <c r="G2" s="838"/>
      <c r="H2" s="838"/>
      <c r="I2" s="838"/>
      <c r="J2" s="838"/>
      <c r="K2" s="838"/>
      <c r="L2" s="838"/>
    </row>
    <row r="3" spans="1:13">
      <c r="B3" s="24" t="str">
        <f>+IF('Introducerea datelor'!G8="Please Select","",'Introducerea datelor'!G8)</f>
        <v/>
      </c>
      <c r="C3" s="836">
        <f>+IF('Introducerea datelor'!I8="Please Select","",'Introducerea datelor'!I8)</f>
        <v>0</v>
      </c>
      <c r="D3" s="836"/>
      <c r="E3" s="837"/>
      <c r="F3" s="837"/>
      <c r="G3" s="837"/>
      <c r="H3" s="837"/>
      <c r="I3" s="837"/>
      <c r="J3" s="824" t="str">
        <f>+'Introducerea datelor'!B16</f>
        <v>Perioada de Raportare:</v>
      </c>
      <c r="K3" s="824"/>
      <c r="L3" s="196" t="str">
        <f>+'Introducerea datelor'!C16</f>
        <v>P6</v>
      </c>
      <c r="M3" s="85"/>
    </row>
    <row r="4" spans="1:13">
      <c r="B4" s="24" t="str">
        <f>+'Introducerea datelor'!B12</f>
        <v>Ultimul Rating:</v>
      </c>
      <c r="C4" s="963" t="s">
        <v>527</v>
      </c>
      <c r="D4" s="963"/>
      <c r="E4" s="837" t="str">
        <f>+'Introducerea datelor'!C8</f>
        <v>IP "UCIMP DS"</v>
      </c>
      <c r="F4" s="837"/>
      <c r="G4" s="837"/>
      <c r="H4" s="837"/>
      <c r="I4" s="837"/>
      <c r="J4" s="824" t="str">
        <f>+'Introducerea datelor'!D16</f>
        <v>De la:</v>
      </c>
      <c r="K4" s="825"/>
      <c r="L4" s="197">
        <f>+IF(ISBLANK('Introducerea datelor'!E16),"",'Introducerea datelor'!E16)</f>
        <v>42917</v>
      </c>
    </row>
    <row r="5" spans="1:13" ht="18.75" customHeight="1">
      <c r="B5" s="24"/>
      <c r="C5" s="24"/>
      <c r="D5" s="837" t="str">
        <f>+'Introducerea datelor'!G4</f>
        <v xml:space="preserve">Fortificarea controlului infecției HIV în RM (2015-2017)
</v>
      </c>
      <c r="E5" s="837"/>
      <c r="F5" s="837"/>
      <c r="G5" s="837"/>
      <c r="H5" s="837"/>
      <c r="I5" s="837"/>
      <c r="J5" s="837"/>
      <c r="K5" s="24" t="str">
        <f>+'Introducerea datelor'!F16</f>
        <v>Pînă la:</v>
      </c>
      <c r="L5" s="197">
        <f>+IF(ISBLANK('Introducerea datelor'!G16),"",'Introducerea datelor'!G16)</f>
        <v>43100</v>
      </c>
    </row>
    <row r="6" spans="1:13" ht="18.75">
      <c r="B6" s="23"/>
      <c r="C6" s="24"/>
      <c r="D6" s="25"/>
      <c r="E6" s="839" t="s">
        <v>483</v>
      </c>
      <c r="F6" s="839"/>
      <c r="G6" s="839"/>
      <c r="H6" s="839"/>
      <c r="I6" s="839"/>
    </row>
    <row r="7" spans="1:13" ht="18.75">
      <c r="E7" s="72"/>
      <c r="F7" s="72"/>
      <c r="G7" s="72"/>
      <c r="H7" s="72"/>
      <c r="I7" s="72"/>
    </row>
    <row r="8" spans="1:13" s="33" customFormat="1" ht="21" customHeight="1" thickBot="1">
      <c r="B8" s="76" t="s">
        <v>482</v>
      </c>
      <c r="C8" s="76"/>
      <c r="D8" s="76"/>
      <c r="E8" s="76"/>
      <c r="F8" s="76"/>
      <c r="G8" s="76"/>
      <c r="H8" s="76"/>
      <c r="I8" s="76"/>
      <c r="J8" s="76"/>
      <c r="K8" s="76"/>
      <c r="L8" s="76"/>
    </row>
    <row r="9" spans="1:13" ht="6" customHeight="1">
      <c r="B9" s="74"/>
    </row>
    <row r="10" spans="1:13" ht="30.75" customHeight="1">
      <c r="B10" s="983" t="s">
        <v>531</v>
      </c>
      <c r="C10" s="984"/>
      <c r="D10" s="984"/>
      <c r="E10" s="984"/>
      <c r="F10" s="984"/>
      <c r="G10" s="984"/>
      <c r="H10" s="984"/>
      <c r="I10" s="984"/>
      <c r="J10" s="984"/>
      <c r="K10" s="984"/>
      <c r="L10" s="985"/>
    </row>
    <row r="11" spans="1:13" ht="30.75" customHeight="1">
      <c r="B11" s="986"/>
      <c r="C11" s="987"/>
      <c r="D11" s="987"/>
      <c r="E11" s="987"/>
      <c r="F11" s="987"/>
      <c r="G11" s="987"/>
      <c r="H11" s="987"/>
      <c r="I11" s="987"/>
      <c r="J11" s="987"/>
      <c r="K11" s="987"/>
      <c r="L11" s="988"/>
    </row>
    <row r="12" spans="1:13" ht="15.75" thickBot="1"/>
    <row r="13" spans="1:13" ht="26.25" customHeight="1" thickBot="1">
      <c r="B13" s="977" t="s">
        <v>486</v>
      </c>
      <c r="C13" s="978"/>
      <c r="D13" s="978"/>
      <c r="E13" s="979"/>
      <c r="F13" s="77"/>
      <c r="G13" s="995" t="s">
        <v>485</v>
      </c>
      <c r="H13" s="957"/>
      <c r="I13" s="957"/>
      <c r="J13" s="78" t="s">
        <v>488</v>
      </c>
      <c r="K13" s="957" t="s">
        <v>489</v>
      </c>
      <c r="L13" s="958"/>
    </row>
    <row r="14" spans="1:13" ht="13.5" customHeight="1">
      <c r="A14" s="970" t="s">
        <v>487</v>
      </c>
      <c r="B14" s="980"/>
      <c r="C14" s="981"/>
      <c r="D14" s="981"/>
      <c r="E14" s="982"/>
      <c r="F14" s="46"/>
      <c r="G14" s="975"/>
      <c r="H14" s="964"/>
      <c r="I14" s="964"/>
      <c r="J14" s="964"/>
      <c r="K14" s="964"/>
      <c r="L14" s="965"/>
    </row>
    <row r="15" spans="1:13" ht="13.5" customHeight="1">
      <c r="A15" s="971"/>
      <c r="B15" s="981"/>
      <c r="C15" s="981"/>
      <c r="D15" s="981"/>
      <c r="E15" s="982"/>
      <c r="F15" s="46"/>
      <c r="G15" s="976"/>
      <c r="H15" s="959"/>
      <c r="I15" s="959"/>
      <c r="J15" s="959"/>
      <c r="K15" s="959"/>
      <c r="L15" s="960"/>
    </row>
    <row r="16" spans="1:13" ht="13.5" customHeight="1">
      <c r="A16" s="971"/>
      <c r="B16" s="973"/>
      <c r="C16" s="973"/>
      <c r="D16" s="973"/>
      <c r="E16" s="974"/>
      <c r="F16" s="46"/>
      <c r="G16" s="976"/>
      <c r="H16" s="959"/>
      <c r="I16" s="959"/>
      <c r="J16" s="959"/>
      <c r="K16" s="959"/>
      <c r="L16" s="960"/>
    </row>
    <row r="17" spans="1:12" ht="13.5" customHeight="1">
      <c r="A17" s="971"/>
      <c r="B17" s="973"/>
      <c r="C17" s="973"/>
      <c r="D17" s="973"/>
      <c r="E17" s="974"/>
      <c r="F17" s="46"/>
      <c r="G17" s="976"/>
      <c r="H17" s="959"/>
      <c r="I17" s="959"/>
      <c r="J17" s="959"/>
      <c r="K17" s="959"/>
      <c r="L17" s="960"/>
    </row>
    <row r="18" spans="1:12" ht="13.5" customHeight="1">
      <c r="A18" s="971"/>
      <c r="B18" s="973"/>
      <c r="C18" s="973"/>
      <c r="D18" s="973"/>
      <c r="E18" s="974"/>
      <c r="F18" s="46"/>
      <c r="G18" s="989"/>
      <c r="H18" s="990"/>
      <c r="I18" s="991"/>
      <c r="J18" s="959"/>
      <c r="K18" s="959"/>
      <c r="L18" s="960"/>
    </row>
    <row r="19" spans="1:12" ht="13.5" customHeight="1">
      <c r="A19" s="971"/>
      <c r="B19" s="973"/>
      <c r="C19" s="973"/>
      <c r="D19" s="973"/>
      <c r="E19" s="974"/>
      <c r="F19" s="46"/>
      <c r="G19" s="992"/>
      <c r="H19" s="993"/>
      <c r="I19" s="994"/>
      <c r="J19" s="959"/>
      <c r="K19" s="959"/>
      <c r="L19" s="960"/>
    </row>
    <row r="20" spans="1:12" ht="13.5" customHeight="1">
      <c r="A20" s="971"/>
      <c r="B20" s="973"/>
      <c r="C20" s="973"/>
      <c r="D20" s="973"/>
      <c r="E20" s="974"/>
      <c r="F20" s="46"/>
      <c r="G20" s="976"/>
      <c r="H20" s="959"/>
      <c r="I20" s="959"/>
      <c r="J20" s="959"/>
      <c r="K20" s="959"/>
      <c r="L20" s="960"/>
    </row>
    <row r="21" spans="1:12" ht="13.5" customHeight="1">
      <c r="A21" s="971"/>
      <c r="B21" s="973"/>
      <c r="C21" s="973"/>
      <c r="D21" s="973"/>
      <c r="E21" s="974"/>
      <c r="F21" s="46"/>
      <c r="G21" s="976"/>
      <c r="H21" s="959"/>
      <c r="I21" s="959"/>
      <c r="J21" s="959"/>
      <c r="K21" s="959"/>
      <c r="L21" s="960"/>
    </row>
    <row r="22" spans="1:12" ht="13.5" customHeight="1">
      <c r="A22" s="971"/>
      <c r="B22" s="973"/>
      <c r="C22" s="973"/>
      <c r="D22" s="973"/>
      <c r="E22" s="974"/>
      <c r="F22" s="46"/>
      <c r="G22" s="976"/>
      <c r="H22" s="959"/>
      <c r="I22" s="959"/>
      <c r="J22" s="959"/>
      <c r="K22" s="959"/>
      <c r="L22" s="960"/>
    </row>
    <row r="23" spans="1:12" ht="13.5" customHeight="1">
      <c r="A23" s="971"/>
      <c r="B23" s="973"/>
      <c r="C23" s="973"/>
      <c r="D23" s="973"/>
      <c r="E23" s="974"/>
      <c r="F23" s="46"/>
      <c r="G23" s="976"/>
      <c r="H23" s="959"/>
      <c r="I23" s="959"/>
      <c r="J23" s="959"/>
      <c r="K23" s="959"/>
      <c r="L23" s="960"/>
    </row>
    <row r="24" spans="1:12" ht="13.5" customHeight="1">
      <c r="A24" s="971"/>
      <c r="B24" s="973"/>
      <c r="C24" s="973"/>
      <c r="D24" s="973"/>
      <c r="E24" s="974"/>
      <c r="F24" s="46"/>
      <c r="G24" s="976"/>
      <c r="H24" s="959"/>
      <c r="I24" s="959"/>
      <c r="J24" s="959"/>
      <c r="K24" s="959"/>
      <c r="L24" s="960"/>
    </row>
    <row r="25" spans="1:12" ht="13.5" customHeight="1" thickBot="1">
      <c r="A25" s="972"/>
      <c r="B25" s="1006"/>
      <c r="C25" s="1006"/>
      <c r="D25" s="1006"/>
      <c r="E25" s="1007"/>
      <c r="F25" s="46"/>
      <c r="G25" s="997"/>
      <c r="H25" s="961"/>
      <c r="I25" s="961"/>
      <c r="J25" s="961"/>
      <c r="K25" s="961"/>
      <c r="L25" s="962"/>
    </row>
    <row r="27" spans="1:12" ht="15.75">
      <c r="E27" s="996" t="s">
        <v>490</v>
      </c>
      <c r="F27" s="996"/>
      <c r="G27" s="996"/>
      <c r="H27" s="996"/>
      <c r="I27" s="996"/>
    </row>
    <row r="28" spans="1:12" ht="6" customHeight="1">
      <c r="E28" s="72"/>
      <c r="F28" s="72"/>
      <c r="G28" s="72"/>
      <c r="H28" s="72"/>
      <c r="I28" s="72"/>
    </row>
    <row r="29" spans="1:12" s="33" customFormat="1" ht="21" customHeight="1" thickBot="1">
      <c r="B29" s="76" t="s">
        <v>482</v>
      </c>
      <c r="C29" s="76"/>
      <c r="D29" s="76"/>
      <c r="E29" s="76"/>
      <c r="F29" s="76"/>
      <c r="G29" s="76"/>
      <c r="H29" s="76"/>
      <c r="I29" s="76"/>
      <c r="J29" s="76"/>
      <c r="K29" s="76"/>
      <c r="L29" s="76"/>
    </row>
    <row r="30" spans="1:12" ht="6" customHeight="1" thickBot="1">
      <c r="B30" s="74"/>
    </row>
    <row r="31" spans="1:12" ht="30" customHeight="1" thickBot="1">
      <c r="B31" s="977" t="s">
        <v>485</v>
      </c>
      <c r="C31" s="978"/>
      <c r="D31" s="978"/>
      <c r="E31" s="979"/>
      <c r="F31" s="77"/>
      <c r="G31" s="995" t="s">
        <v>491</v>
      </c>
      <c r="H31" s="957"/>
      <c r="I31" s="957"/>
      <c r="J31" s="78" t="s">
        <v>492</v>
      </c>
      <c r="K31" s="957" t="s">
        <v>493</v>
      </c>
      <c r="L31" s="958"/>
    </row>
    <row r="32" spans="1:12" ht="14.25" customHeight="1">
      <c r="A32" s="970" t="s">
        <v>494</v>
      </c>
      <c r="B32" s="998"/>
      <c r="C32" s="999"/>
      <c r="D32" s="999"/>
      <c r="E32" s="1000"/>
      <c r="F32" s="46"/>
      <c r="G32" s="1008"/>
      <c r="H32" s="955"/>
      <c r="I32" s="955"/>
      <c r="J32" s="955"/>
      <c r="K32" s="955"/>
      <c r="L32" s="956"/>
    </row>
    <row r="33" spans="1:12" ht="16.5" customHeight="1">
      <c r="A33" s="971"/>
      <c r="B33" s="992"/>
      <c r="C33" s="993"/>
      <c r="D33" s="993"/>
      <c r="E33" s="1001"/>
      <c r="F33" s="46"/>
      <c r="G33" s="966"/>
      <c r="H33" s="951"/>
      <c r="I33" s="951"/>
      <c r="J33" s="951"/>
      <c r="K33" s="951"/>
      <c r="L33" s="952"/>
    </row>
    <row r="34" spans="1:12">
      <c r="A34" s="971"/>
      <c r="B34" s="967" t="str">
        <f>IF(Recomandari!I41="","",Recomandari!I41)</f>
        <v/>
      </c>
      <c r="C34" s="968"/>
      <c r="D34" s="968"/>
      <c r="E34" s="969"/>
      <c r="F34" s="46"/>
      <c r="G34" s="966"/>
      <c r="H34" s="951"/>
      <c r="I34" s="951"/>
      <c r="J34" s="951"/>
      <c r="K34" s="951"/>
      <c r="L34" s="952"/>
    </row>
    <row r="35" spans="1:12">
      <c r="A35" s="971"/>
      <c r="B35" s="967"/>
      <c r="C35" s="968"/>
      <c r="D35" s="968"/>
      <c r="E35" s="969"/>
      <c r="F35" s="46"/>
      <c r="G35" s="966"/>
      <c r="H35" s="951"/>
      <c r="I35" s="951"/>
      <c r="J35" s="951"/>
      <c r="K35" s="951"/>
      <c r="L35" s="952"/>
    </row>
    <row r="36" spans="1:12">
      <c r="A36" s="971"/>
      <c r="B36" s="967" t="str">
        <f>+IF(Recomandari!I51="","",Recomandari!I51)</f>
        <v/>
      </c>
      <c r="C36" s="968"/>
      <c r="D36" s="968"/>
      <c r="E36" s="969"/>
      <c r="F36" s="46"/>
      <c r="G36" s="966"/>
      <c r="H36" s="951"/>
      <c r="I36" s="951"/>
      <c r="J36" s="951"/>
      <c r="K36" s="951"/>
      <c r="L36" s="952"/>
    </row>
    <row r="37" spans="1:12">
      <c r="A37" s="971"/>
      <c r="B37" s="967"/>
      <c r="C37" s="968"/>
      <c r="D37" s="968"/>
      <c r="E37" s="969"/>
      <c r="F37" s="46"/>
      <c r="G37" s="966"/>
      <c r="H37" s="951"/>
      <c r="I37" s="951"/>
      <c r="J37" s="951"/>
      <c r="K37" s="951"/>
      <c r="L37" s="952"/>
    </row>
    <row r="38" spans="1:12">
      <c r="A38" s="971"/>
      <c r="B38" s="967"/>
      <c r="C38" s="968"/>
      <c r="D38" s="968"/>
      <c r="E38" s="969"/>
      <c r="F38" s="46"/>
      <c r="G38" s="966"/>
      <c r="H38" s="951"/>
      <c r="I38" s="951"/>
      <c r="J38" s="951"/>
      <c r="K38" s="951"/>
      <c r="L38" s="952"/>
    </row>
    <row r="39" spans="1:12">
      <c r="A39" s="971"/>
      <c r="B39" s="967"/>
      <c r="C39" s="968"/>
      <c r="D39" s="968"/>
      <c r="E39" s="969"/>
      <c r="F39" s="46"/>
      <c r="G39" s="966"/>
      <c r="H39" s="951"/>
      <c r="I39" s="951"/>
      <c r="J39" s="951"/>
      <c r="K39" s="951"/>
      <c r="L39" s="952"/>
    </row>
    <row r="40" spans="1:12">
      <c r="A40" s="971"/>
      <c r="B40" s="967"/>
      <c r="C40" s="968"/>
      <c r="D40" s="968"/>
      <c r="E40" s="969"/>
      <c r="F40" s="46"/>
      <c r="G40" s="966"/>
      <c r="H40" s="951"/>
      <c r="I40" s="951"/>
      <c r="J40" s="951"/>
      <c r="K40" s="951"/>
      <c r="L40" s="952"/>
    </row>
    <row r="41" spans="1:12">
      <c r="A41" s="971"/>
      <c r="B41" s="967"/>
      <c r="C41" s="968"/>
      <c r="D41" s="968"/>
      <c r="E41" s="969"/>
      <c r="F41" s="46"/>
      <c r="G41" s="966"/>
      <c r="H41" s="951"/>
      <c r="I41" s="951"/>
      <c r="J41" s="951"/>
      <c r="K41" s="951"/>
      <c r="L41" s="952"/>
    </row>
    <row r="42" spans="1:12">
      <c r="A42" s="971"/>
      <c r="B42" s="967"/>
      <c r="C42" s="968"/>
      <c r="D42" s="968"/>
      <c r="E42" s="969"/>
      <c r="F42" s="46"/>
      <c r="G42" s="966"/>
      <c r="H42" s="951"/>
      <c r="I42" s="951"/>
      <c r="J42" s="951"/>
      <c r="K42" s="951"/>
      <c r="L42" s="952"/>
    </row>
    <row r="43" spans="1:12" ht="15.75" thickBot="1">
      <c r="A43" s="972"/>
      <c r="B43" s="1002"/>
      <c r="C43" s="1003"/>
      <c r="D43" s="1003"/>
      <c r="E43" s="1004"/>
      <c r="F43" s="46"/>
      <c r="G43" s="1005"/>
      <c r="H43" s="953"/>
      <c r="I43" s="953"/>
      <c r="J43" s="953"/>
      <c r="K43" s="953"/>
      <c r="L43" s="954"/>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BF073CC-B72F-4A6E-89A6-C2004FB1AA75}">
  <ds:schemaRefs>
    <ds:schemaRef ds:uri="http://purl.org/dc/elements/1.1/"/>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f127e3a1-6a43-4b35-8211-dfdf2a8cacea"/>
    <ds:schemaRef ds:uri="http://schemas.microsoft.com/sharepoint/v3"/>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Actiuni</vt:lpstr>
      <vt:lpstr>Setup</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2017-05-15T11:26:41Z</cp:lastPrinted>
  <dcterms:created xsi:type="dcterms:W3CDTF">2008-11-20T16:06:13Z</dcterms:created>
  <dcterms:modified xsi:type="dcterms:W3CDTF">2018-05-23T07:23:00Z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