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diskstation\Contracte_soferi\Dashboard\"/>
    </mc:Choice>
  </mc:AlternateContent>
  <xr:revisionPtr revIDLastSave="0" documentId="10_ncr:8100000_{BE2793E5-598B-43CF-86AE-9A27BBBEF136}" xr6:coauthVersionLast="32" xr6:coauthVersionMax="32" xr10:uidLastSave="{00000000-0000-0000-0000-000000000000}"/>
  <bookViews>
    <workbookView xWindow="0" yWindow="0" windowWidth="17970" windowHeight="7125" tabRatio="965" activeTab="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datelor'!$A$1:$O$146</definedName>
    <definedName name="_xlnm.Print_Area" localSheetId="4">Management!$A$2:$L$34</definedName>
    <definedName name="_xlnm.Print_Area" localSheetId="6">Programatic!$A$1:$Q$26</definedName>
    <definedName name="PrintA">Actiuni!$A$2:$L$34</definedName>
    <definedName name="PrintDataF">'Introducerea datelor'!$B$25:$J$64</definedName>
    <definedName name="PrintDataM">'Introducerea datelor'!$B$66:$H$110</definedName>
    <definedName name="PrintF">Financiar!$A$2:$K$31</definedName>
    <definedName name="PrintGD">'Detail despre Grant'!$A$2:$J$13</definedName>
    <definedName name="PrintM" localSheetId="8">Actiuni!$A$2:$L$6</definedName>
    <definedName name="PrintM">Management!$A$2:$L$36</definedName>
    <definedName name="PrintP">Programatic!$A$2:$P$27</definedName>
    <definedName name="PrintR">Recomandari!$A$2:$N$38</definedName>
    <definedName name="Rating">Setup!$G$9:$G$14</definedName>
    <definedName name="Round">Setup!$D$9:$D$21</definedName>
  </definedNames>
  <calcPr calcId="162913" refMode="R1C1"/>
</workbook>
</file>

<file path=xl/calcChain.xml><?xml version="1.0" encoding="utf-8"?>
<calcChain xmlns="http://schemas.openxmlformats.org/spreadsheetml/2006/main">
  <c r="E40" i="29" l="1"/>
  <c r="E41" i="29"/>
  <c r="E42" i="29"/>
  <c r="E44" i="29"/>
  <c r="E46" i="29"/>
  <c r="E39" i="29"/>
  <c r="I145" i="29" l="1"/>
  <c r="J145" i="29"/>
  <c r="K145" i="29"/>
  <c r="L145" i="29"/>
  <c r="I146" i="29"/>
  <c r="J146" i="29"/>
  <c r="K146" i="29"/>
  <c r="L146" i="29"/>
  <c r="I142" i="29"/>
  <c r="J142" i="29"/>
  <c r="K142" i="29"/>
  <c r="L142" i="29"/>
  <c r="I143" i="29"/>
  <c r="J143" i="29"/>
  <c r="K143" i="29"/>
  <c r="L143" i="29"/>
  <c r="I144" i="29"/>
  <c r="J144" i="29"/>
  <c r="K144" i="29"/>
  <c r="L144" i="29"/>
  <c r="H142" i="29"/>
  <c r="H143" i="29"/>
  <c r="H144" i="29"/>
  <c r="H145" i="29"/>
  <c r="H146" i="29"/>
  <c r="L141" i="29"/>
  <c r="I141" i="29"/>
  <c r="J141" i="29"/>
  <c r="K141" i="29"/>
  <c r="F40" i="29" l="1"/>
  <c r="F41" i="29"/>
  <c r="F42" i="29"/>
  <c r="F46" i="29"/>
  <c r="F39" i="29"/>
  <c r="O31" i="29" l="1"/>
  <c r="G13" i="27" l="1"/>
  <c r="B145" i="29" l="1"/>
  <c r="E145" i="29"/>
  <c r="F145" i="29"/>
  <c r="M145" i="29"/>
  <c r="N145" i="29"/>
  <c r="O145" i="29"/>
  <c r="P145" i="29"/>
  <c r="Q145" i="29"/>
  <c r="R145" i="29"/>
  <c r="S145" i="29"/>
  <c r="M146" i="29"/>
  <c r="N146" i="29"/>
  <c r="O146" i="29"/>
  <c r="P146" i="29"/>
  <c r="Q146" i="29"/>
  <c r="R146" i="29"/>
  <c r="S146" i="29"/>
  <c r="B25" i="37" l="1"/>
  <c r="D32" i="29" l="1"/>
  <c r="C46" i="29" l="1"/>
  <c r="D46" i="29"/>
  <c r="D99" i="29" l="1"/>
  <c r="E99" i="29" s="1"/>
  <c r="F99" i="29" s="1"/>
  <c r="G99" i="29" s="1"/>
  <c r="H99" i="29" s="1"/>
  <c r="I99" i="29" s="1"/>
  <c r="J99" i="29" s="1"/>
  <c r="K99" i="29" s="1"/>
  <c r="L99" i="29" s="1"/>
  <c r="M99" i="29" s="1"/>
  <c r="N99" i="29" s="1"/>
  <c r="D98" i="29"/>
  <c r="E98" i="29" s="1"/>
  <c r="F98" i="29" s="1"/>
  <c r="G98" i="29" s="1"/>
  <c r="H98" i="29" s="1"/>
  <c r="I98" i="29" s="1"/>
  <c r="J98" i="29" s="1"/>
  <c r="K98" i="29" s="1"/>
  <c r="L98" i="29" s="1"/>
  <c r="M98" i="29" s="1"/>
  <c r="N98" i="29" s="1"/>
  <c r="D97" i="29"/>
  <c r="E97" i="29" s="1"/>
  <c r="F97" i="29" s="1"/>
  <c r="G97" i="29" s="1"/>
  <c r="H97" i="29" s="1"/>
  <c r="I97" i="29" s="1"/>
  <c r="J97" i="29" s="1"/>
  <c r="K97" i="29" s="1"/>
  <c r="L97" i="29" s="1"/>
  <c r="M97" i="29" s="1"/>
  <c r="N97" i="29" s="1"/>
  <c r="E51" i="29"/>
  <c r="E54" i="29"/>
  <c r="E53" i="29"/>
  <c r="N34" i="29"/>
  <c r="M34" i="29"/>
  <c r="L34" i="29"/>
  <c r="K34" i="29"/>
  <c r="J34" i="29"/>
  <c r="I34" i="29"/>
  <c r="H34" i="29"/>
  <c r="D34" i="29"/>
  <c r="N33" i="29"/>
  <c r="M33" i="29"/>
  <c r="L33" i="29"/>
  <c r="K33" i="29"/>
  <c r="J33" i="29"/>
  <c r="I33" i="29"/>
  <c r="H33" i="29"/>
  <c r="E34" i="29" l="1"/>
  <c r="E78" i="29"/>
  <c r="F34" i="29" l="1"/>
  <c r="E25" i="37"/>
  <c r="F26" i="37"/>
  <c r="E26" i="37"/>
  <c r="F25" i="37"/>
  <c r="F24" i="37"/>
  <c r="E24" i="37"/>
  <c r="F23" i="37"/>
  <c r="E23" i="37"/>
  <c r="F22" i="37"/>
  <c r="E22" i="37"/>
  <c r="F21" i="37"/>
  <c r="E21" i="37"/>
  <c r="F20" i="37"/>
  <c r="E20" i="37"/>
  <c r="G34" i="29" l="1"/>
  <c r="G25" i="37"/>
  <c r="G22" i="37"/>
  <c r="G26" i="37"/>
  <c r="G24" i="37"/>
  <c r="G20" i="37"/>
  <c r="G21" i="37"/>
  <c r="G23" i="37"/>
  <c r="H141" i="29" l="1"/>
  <c r="D30" i="42" l="1"/>
  <c r="D37" i="42" l="1"/>
  <c r="R30" i="29" l="1"/>
  <c r="B26" i="37"/>
  <c r="B24" i="37"/>
  <c r="B23" i="37"/>
  <c r="Q143" i="29"/>
  <c r="R143" i="29"/>
  <c r="Q144" i="29"/>
  <c r="R144" i="29"/>
  <c r="M143" i="29"/>
  <c r="N143" i="29"/>
  <c r="O143" i="29"/>
  <c r="P143" i="29"/>
  <c r="M144" i="29"/>
  <c r="N144" i="29"/>
  <c r="O144" i="29"/>
  <c r="P144" i="29"/>
  <c r="M8" i="37"/>
  <c r="B2" i="39"/>
  <c r="B2" i="42"/>
  <c r="B20" i="37"/>
  <c r="B2" i="37"/>
  <c r="B2" i="35"/>
  <c r="B2" i="30"/>
  <c r="B2" i="45"/>
  <c r="B3" i="27"/>
  <c r="B2" i="1" s="1"/>
  <c r="I9" i="27"/>
  <c r="E50" i="29"/>
  <c r="C38" i="29"/>
  <c r="D38" i="29"/>
  <c r="B32" i="29"/>
  <c r="B31" i="29"/>
  <c r="D29" i="42"/>
  <c r="B22" i="45"/>
  <c r="K5" i="30"/>
  <c r="K4" i="30"/>
  <c r="L5" i="35"/>
  <c r="L4" i="35"/>
  <c r="Q5" i="37"/>
  <c r="Q4" i="37"/>
  <c r="M5" i="42"/>
  <c r="M4" i="42"/>
  <c r="L5" i="39"/>
  <c r="L4" i="39"/>
  <c r="C4" i="39"/>
  <c r="C3" i="39"/>
  <c r="B3" i="39"/>
  <c r="C4" i="42"/>
  <c r="C3" i="42"/>
  <c r="B3" i="42"/>
  <c r="C4" i="37"/>
  <c r="C3" i="37"/>
  <c r="B3" i="37"/>
  <c r="C4" i="35"/>
  <c r="C3" i="35"/>
  <c r="B3" i="35"/>
  <c r="C4" i="30"/>
  <c r="C3" i="30"/>
  <c r="B3" i="30"/>
  <c r="G9" i="27"/>
  <c r="G11" i="27"/>
  <c r="D11" i="27"/>
  <c r="B12" i="27"/>
  <c r="I11" i="27"/>
  <c r="D10" i="27"/>
  <c r="B10" i="27"/>
  <c r="B9" i="27"/>
  <c r="B6" i="27"/>
  <c r="B4" i="1"/>
  <c r="E89" i="29"/>
  <c r="E88" i="29"/>
  <c r="D11" i="42"/>
  <c r="J3" i="35"/>
  <c r="L3" i="35"/>
  <c r="I3" i="30"/>
  <c r="K3" i="30"/>
  <c r="D33" i="42"/>
  <c r="D34" i="42"/>
  <c r="D35" i="42"/>
  <c r="D36" i="42"/>
  <c r="D38" i="42"/>
  <c r="D32" i="42"/>
  <c r="D31" i="42"/>
  <c r="E108" i="29"/>
  <c r="G108" i="29" s="1"/>
  <c r="I108" i="29" s="1"/>
  <c r="E107" i="29"/>
  <c r="G107" i="29" s="1"/>
  <c r="I107" i="29" s="1"/>
  <c r="E109" i="29"/>
  <c r="G109" i="29" s="1"/>
  <c r="I109" i="29" s="1"/>
  <c r="E110" i="29"/>
  <c r="G110" i="29" s="1"/>
  <c r="I110" i="29" s="1"/>
  <c r="K30" i="35"/>
  <c r="K31" i="35"/>
  <c r="K32" i="35"/>
  <c r="K33" i="35"/>
  <c r="M142" i="29"/>
  <c r="N142" i="29"/>
  <c r="O142" i="29"/>
  <c r="P142" i="29"/>
  <c r="Q142" i="29"/>
  <c r="R142" i="29"/>
  <c r="S142" i="29"/>
  <c r="S143" i="29"/>
  <c r="S144" i="29"/>
  <c r="M141" i="29"/>
  <c r="N141" i="29"/>
  <c r="O141" i="29"/>
  <c r="P141" i="29"/>
  <c r="Q141" i="29"/>
  <c r="R141" i="29"/>
  <c r="S141" i="29"/>
  <c r="F143" i="29"/>
  <c r="F141" i="29"/>
  <c r="E143" i="29"/>
  <c r="E141" i="29"/>
  <c r="B143" i="29"/>
  <c r="B141" i="29"/>
  <c r="N35" i="29"/>
  <c r="H29" i="30"/>
  <c r="H28" i="30"/>
  <c r="H27" i="30"/>
  <c r="D24" i="42"/>
  <c r="D23" i="42"/>
  <c r="D22" i="42"/>
  <c r="D21" i="42"/>
  <c r="D20" i="42"/>
  <c r="D19" i="42"/>
  <c r="D14" i="42"/>
  <c r="D13" i="42"/>
  <c r="D12" i="42"/>
  <c r="B25" i="45"/>
  <c r="B23" i="45"/>
  <c r="B21" i="45"/>
  <c r="B20" i="45"/>
  <c r="B19" i="45"/>
  <c r="B11" i="45"/>
  <c r="B10" i="45"/>
  <c r="B9" i="45"/>
  <c r="B8" i="45"/>
  <c r="B4" i="37"/>
  <c r="B4" i="35"/>
  <c r="B4" i="30"/>
  <c r="G72" i="29"/>
  <c r="F20" i="42" s="1"/>
  <c r="G12" i="27"/>
  <c r="H4" i="1"/>
  <c r="G71" i="29"/>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N3" i="37"/>
  <c r="J5" i="30"/>
  <c r="D5" i="30"/>
  <c r="I4" i="30"/>
  <c r="E4" i="30"/>
  <c r="G8" i="37"/>
  <c r="C8" i="37"/>
  <c r="S140" i="29"/>
  <c r="R140" i="29"/>
  <c r="Q140" i="29"/>
  <c r="P140" i="29"/>
  <c r="O140" i="29"/>
  <c r="B22" i="37"/>
  <c r="B21" i="37"/>
  <c r="N140" i="29"/>
  <c r="M140" i="29"/>
  <c r="L140" i="29"/>
  <c r="K140" i="29"/>
  <c r="J140" i="29"/>
  <c r="I140" i="29"/>
  <c r="H140" i="29"/>
  <c r="B36" i="39"/>
  <c r="B34" i="39"/>
  <c r="B34" i="35"/>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6" i="37"/>
  <c r="U26" i="37"/>
  <c r="V26" i="37"/>
  <c r="W26" i="37"/>
  <c r="X26" i="37"/>
  <c r="T28" i="37"/>
  <c r="T27" i="37"/>
  <c r="U27" i="37"/>
  <c r="V27" i="37"/>
  <c r="W27" i="37"/>
  <c r="X27" i="37"/>
  <c r="U28" i="37"/>
  <c r="W28" i="37"/>
  <c r="T29" i="37"/>
  <c r="U29" i="37"/>
  <c r="V29" i="37"/>
  <c r="W29" i="37"/>
  <c r="X29" i="37"/>
  <c r="T30" i="37"/>
  <c r="U30" i="37"/>
  <c r="V30" i="37"/>
  <c r="W30" i="37"/>
  <c r="X30" i="37"/>
  <c r="X28" i="37"/>
  <c r="V28" i="37"/>
  <c r="C35" i="29"/>
  <c r="R29" i="29"/>
  <c r="E35" i="29"/>
  <c r="R33" i="29"/>
  <c r="H35" i="29"/>
  <c r="R35" i="29"/>
  <c r="J35" i="29"/>
  <c r="R49" i="29"/>
  <c r="L35" i="29"/>
  <c r="M35" i="29"/>
  <c r="H15" i="35" l="1"/>
  <c r="H22" i="30"/>
  <c r="B3" i="32"/>
  <c r="AD23" i="37"/>
  <c r="AB23" i="37"/>
  <c r="AF23" i="37"/>
  <c r="AE23" i="37"/>
  <c r="AD22" i="37"/>
  <c r="AC22" i="37"/>
  <c r="AB22" i="37"/>
  <c r="AF22" i="37"/>
  <c r="AE22" i="37"/>
  <c r="AC23" i="37"/>
  <c r="E20" i="42"/>
  <c r="K110" i="29"/>
  <c r="L33" i="35" s="1"/>
  <c r="J33" i="35"/>
  <c r="H7" i="35"/>
  <c r="D35" i="29"/>
  <c r="R32" i="29"/>
  <c r="B22" i="30"/>
  <c r="AB24" i="37"/>
  <c r="AF24" i="37"/>
  <c r="AC24" i="37"/>
  <c r="AD24" i="37"/>
  <c r="AE24" i="37"/>
  <c r="J30" i="35"/>
  <c r="K107" i="29"/>
  <c r="L30" i="35" s="1"/>
  <c r="K108" i="29"/>
  <c r="L31" i="35" s="1"/>
  <c r="J31" i="35"/>
  <c r="J32" i="35"/>
  <c r="K109" i="29"/>
  <c r="L32" i="35" s="1"/>
  <c r="H8" i="30"/>
  <c r="H26" i="35"/>
  <c r="B8" i="30"/>
  <c r="B7" i="35"/>
  <c r="B15" i="35"/>
  <c r="K35" i="29"/>
  <c r="I35" i="29"/>
  <c r="G35" i="29"/>
  <c r="R31" i="29"/>
  <c r="R34" i="29"/>
  <c r="F35" i="29"/>
  <c r="R48" i="29"/>
  <c r="Q50" i="29"/>
  <c r="E5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1" authorId="1" shapeId="0" xr:uid="{00000000-0006-0000-0200-000002000000}">
      <text>
        <r>
          <rPr>
            <b/>
            <sz val="8"/>
            <color indexed="81"/>
            <rFont val="Tahoma"/>
            <family val="2"/>
            <charset val="204"/>
          </rPr>
          <t xml:space="preserve">If data are not available, do not enter zeros; rather, leave the cells in the table blank. </t>
        </r>
      </text>
    </comment>
    <comment ref="B72" authorId="1" shapeId="0" xr:uid="{00000000-0006-0000-0200-000003000000}">
      <text>
        <r>
          <rPr>
            <b/>
            <sz val="8"/>
            <color indexed="81"/>
            <rFont val="Tahoma"/>
            <family val="2"/>
            <charset val="204"/>
          </rPr>
          <t>If data are not available, do not enter zeros; rather, leave the cells in this table blank.</t>
        </r>
      </text>
    </comment>
    <comment ref="B78" authorId="0" shapeId="0" xr:uid="{00000000-0006-0000-0200-000004000000}">
      <text>
        <r>
          <rPr>
            <sz val="8"/>
            <color indexed="81"/>
            <rFont val="Tahoma"/>
            <family val="2"/>
            <charset val="204"/>
          </rPr>
          <t xml:space="preserve">If data are not available, do not enter zeros; rather, leave the cells in this table blank. </t>
        </r>
      </text>
    </comment>
    <comment ref="B93"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<sst xmlns="http://schemas.openxmlformats.org/spreadsheetml/2006/main" count="641" uniqueCount="498">
  <si>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</si>
  <si>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</si>
  <si>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</si>
  <si>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</si>
  <si>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</si>
  <si>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</si>
  <si>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</si>
  <si>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</si>
  <si>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</si>
  <si>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</si>
  <si>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</si>
  <si>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</si>
  <si>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</si>
  <si>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</si>
  <si>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</si>
  <si>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</si>
  <si>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</si>
  <si>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</si>
  <si>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</si>
  <si>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</si>
  <si>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</si>
  <si>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</si>
  <si>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</si>
  <si>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</si>
  <si>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</si>
  <si>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</si>
  <si>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</si>
  <si>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</si>
  <si>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</si>
  <si>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</si>
  <si>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</si>
  <si>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</si>
  <si>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</si>
  <si>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</si>
  <si>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</si>
  <si>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</si>
  <si>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</si>
  <si>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</si>
  <si>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</si>
  <si>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</si>
  <si>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</si>
  <si>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</si>
  <si>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</si>
  <si>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</si>
  <si>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</si>
  <si>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</si>
  <si>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</si>
  <si>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</si>
  <si>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</si>
  <si>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</si>
  <si>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</si>
  <si>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</si>
  <si>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</si>
  <si>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</si>
  <si>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</si>
  <si>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</si>
  <si>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</si>
  <si>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</si>
  <si>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</si>
  <si>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</si>
  <si>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</si>
  <si>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</si>
  <si>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</si>
  <si>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</si>
  <si>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</si>
  <si>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</si>
  <si>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</si>
  <si>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</si>
  <si>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</si>
  <si>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</si>
  <si>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</si>
  <si>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</si>
  <si>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</si>
  <si>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</si>
  <si>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</si>
  <si>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</si>
  <si>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</si>
  <si>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</si>
  <si>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</si>
  <si>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</si>
  <si>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</si>
  <si>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</si>
  <si>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</si>
  <si>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</si>
  <si>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</si>
  <si>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</si>
  <si>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</si>
  <si>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</si>
  <si>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</si>
  <si>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</si>
  <si>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</si>
  <si>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</si>
  <si>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</si>
  <si>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</si>
  <si>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</si>
  <si>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</si>
  <si>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</si>
  <si>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</si>
  <si>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</si>
  <si>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</si>
  <si>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</si>
  <si>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</si>
  <si>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</si>
  <si>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</si>
  <si>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</si>
  <si>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</si>
  <si>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</si>
  <si>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</si>
  <si>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</si>
  <si>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</si>
  <si>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</si>
  <si>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</si>
  <si>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</si>
  <si>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</si>
  <si>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</si>
  <si>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</si>
  <si>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</si>
  <si>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</si>
  <si>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</si>
  <si>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</si>
  <si>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</si>
  <si>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</si>
  <si>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</si>
  <si>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</si>
  <si>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</si>
  <si>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</si>
  <si>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</si>
  <si>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</si>
  <si>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</si>
  <si>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</si>
  <si>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</si>
  <si>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</si>
  <si>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</si>
  <si>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</si>
  <si>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</si>
  <si>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</si>
  <si>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</si>
  <si>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</si>
  <si>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</si>
  <si>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</si>
  <si>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</si>
  <si>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</si>
  <si>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</si>
  <si>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</si>
  <si>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</si>
  <si>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</si>
  <si>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</si>
  <si>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</si>
  <si>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</si>
  <si>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</si>
  <si>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</si>
  <si>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</si>
  <si>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</si>
  <si>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</si>
  <si>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</si>
  <si>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</si>
  <si>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</si>
  <si>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</si>
  <si>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</si>
  <si>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</si>
  <si>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</si>
  <si>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</si>
  <si>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</si>
  <si>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</si>
  <si>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</si>
  <si>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</si>
  <si>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</si>
  <si>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</si>
  <si>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</si>
  <si>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</si>
  <si>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</si>
  <si>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</si>
  <si>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</si>
  <si>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</si>
  <si>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</si>
  <si>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</si>
  <si>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</si>
  <si>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</si>
  <si>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</si>
  <si>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</si>
  <si>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</si>
  <si>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</si>
  <si>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</si>
  <si>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</si>
  <si>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</si>
  <si>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</si>
  <si>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</si>
  <si>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</si>
  <si>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</si>
  <si>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</si>
  <si>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</si>
  <si>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</si>
  <si>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</si>
  <si>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</si>
  <si>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</si>
  <si>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</si>
  <si>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</si>
  <si>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</si>
  <si>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</si>
  <si>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</si>
  <si>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</si>
  <si>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</si>
  <si>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</si>
  <si>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</si>
  <si>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</si>
  <si>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</si>
  <si>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</si>
  <si>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</si>
  <si>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</si>
  <si>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</si>
  <si>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</si>
  <si>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</si>
  <si>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</si>
  <si>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</si>
  <si>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</si>
  <si>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</si>
  <si>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</si>
  <si>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</si>
  <si>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</si>
  <si>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</si>
  <si>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</si>
  <si>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</si>
  <si>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</si>
  <si>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</si>
  <si>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</si>
  <si>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</si>
  <si>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</si>
  <si>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</si>
  <si>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</si>
  <si>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</si>
  <si>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</si>
  <si>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</si>
  <si>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</si>
  <si>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</si>
  <si>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</si>
  <si>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</si>
  <si>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</si>
  <si>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</si>
  <si>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</si>
  <si>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</si>
  <si>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</si>
  <si>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</si>
  <si>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</si>
  <si>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</si>
  <si>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</si>
  <si>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</si>
  <si>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</si>
  <si>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</si>
  <si>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</si>
  <si>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</si>
  <si>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</si>
  <si>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</si>
  <si>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</si>
  <si>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</si>
  <si>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</si>
  <si>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</si>
  <si>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</si>
  <si>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</si>
  <si>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</si>
  <si>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</si>
  <si>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</si>
  <si>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</si>
  <si>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</si>
  <si>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</si>
  <si>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</si>
  <si>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</si>
  <si>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</si>
  <si>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</si>
  <si>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</si>
  <si>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</si>
  <si>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</si>
  <si>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</si>
  <si>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</si>
  <si>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</si>
  <si>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</si>
  <si>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</si>
  <si>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</si>
  <si>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</si>
  <si>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</si>
  <si>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</si>
  <si>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</si>
  <si>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</si>
  <si>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</si>
  <si>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</si>
  <si>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</si>
  <si>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</si>
  <si>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</si>
  <si>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</si>
  <si>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</si>
  <si>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</si>
  <si>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</si>
  <si>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</si>
  <si>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</si>
  <si>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</si>
  <si>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</si>
  <si>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</si>
  <si>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</si>
  <si>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</si>
  <si>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</si>
  <si>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</si>
  <si>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</si>
  <si>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</si>
  <si>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</si>
  <si>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</si>
  <si>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</si>
  <si>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</si>
  <si>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</si>
  <si>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</si>
  <si>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</si>
  <si>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</si>
  <si>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</si>
  <si>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</si>
  <si>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</si>
  <si>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</si>
  <si>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</si>
  <si>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</si>
  <si>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</si>
  <si>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</si>
  <si>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</si>
  <si>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</si>
  <si>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</si>
  <si>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</si>
  <si>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</si>
  <si>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</si>
  <si>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</si>
  <si>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</si>
  <si>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</si>
  <si>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</si>
  <si>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</si>
  <si>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</si>
  <si>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</si>
  <si>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</si>
  <si>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</si>
  <si>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</si>
  <si>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</si>
  <si>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</si>
  <si>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</si>
  <si>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</si>
  <si>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</si>
  <si>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</si>
  <si>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</si>
  <si>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</si>
  <si>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</si>
  <si>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</si>
  <si>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</si>
  <si>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</si>
  <si>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</si>
  <si>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</si>
  <si>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</si>
  <si>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</si>
  <si>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</si>
  <si>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</si>
  <si>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</si>
  <si>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</si>
  <si>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</si>
  <si>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</si>
  <si>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</si>
  <si>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</si>
  <si>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</si>
  <si>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</si>
  <si>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</si>
  <si>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</si>
  <si>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</si>
  <si>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</si>
  <si>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</si>
  <si>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</si>
  <si>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</si>
  <si>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</si>
  <si>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</si>
  <si>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</si>
  <si>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</si>
  <si>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</si>
  <si>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</si>
  <si>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</si>
  <si>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</si>
  <si>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</si>
  <si>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</si>
  <si>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</si>
  <si>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</si>
  <si>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</si>
  <si>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</si>
  <si>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</si>
  <si>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</si>
  <si>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</si>
  <si>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</si>
  <si>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</si>
  <si>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</si>
  <si>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</si>
  <si>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</si>
  <si>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</si>
  <si>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</si>
  <si>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</si>
  <si>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</si>
  <si>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</si>
  <si>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</si>
  <si>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</si>
  <si>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</si>
  <si>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</si>
  <si>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</si>
  <si>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</si>
  <si>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</si>
  <si>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</si>
  <si>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</si>
  <si>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</si>
  <si>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</si>
  <si>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</si>
  <si>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</si>
  <si>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</si>
  <si>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</si>
  <si>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</si>
  <si>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</si>
  <si>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</si>
  <si>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</si>
  <si>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</si>
  <si>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</si>
  <si>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Formular de notificare a cazurilor TB (089); Registrul cazurilor TB (03);
Fișa de tratament a pacienților TB (01).</t>
  </si>
  <si>
    <t>Numărător: Numărul de decese cauzate de TB (toate formele) înregistrate într-o anumită perioadă per 100,000 persoane; Numitor: Numărul total al populației în țară</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</si>
  <si>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</si>
  <si>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</si>
  <si>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</si>
  <si>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</si>
  <si>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</si>
  <si>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</si>
  <si>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</si>
  <si>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</si>
  <si>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</si>
  <si>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</si>
  <si>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Y - nu este cumulativ</t>
  </si>
  <si>
    <t>Rezultat 2</t>
  </si>
  <si>
    <t>Rezultat 1</t>
  </si>
  <si>
    <t>Recomandările cheie a Comisiei de Supraveghere</t>
  </si>
  <si>
    <t>IP UCIMP DS</t>
  </si>
  <si>
    <t>Tsovinar Sakanyan</t>
  </si>
  <si>
    <t xml:space="preserve">                               Introduceți datele pentru management în celulele albastre</t>
  </si>
  <si>
    <t>Asigurarea accesului universal la diagnosticul la timp şi de calitate al tuturor formelor de tuberculoză, inclusiv al celor cu TB-M/EDR</t>
  </si>
  <si>
    <t>Consolidarea managementului, coordonării, monitorizării și evaluării Programului Național de control al tuberculozei</t>
  </si>
  <si>
    <t>Fortificarea managementului Programului</t>
  </si>
  <si>
    <t>Asigurarea accesului universal la tratamentul calitativ al tuturor formelor de tuberculoză, inclusiv al celor cu TB-M/EDR</t>
  </si>
  <si>
    <t>Impact 2</t>
  </si>
  <si>
    <t>Proces 1</t>
  </si>
  <si>
    <t>Numărul de cazuri de TB DR (RR-TB și/sau MDR-TB), confirmate bacteriologic, notificate</t>
  </si>
  <si>
    <t xml:space="preserve">Proces 2 </t>
  </si>
  <si>
    <t xml:space="preserve">Numărul cazurilor cu tuberculoză drog-rezistentă (RR-TB și/sau MDR-TB), confirmate bacteriologic, care au demarat tratamentul DOTS-Plus în perioada raportată                 </t>
  </si>
  <si>
    <t>Proces 3</t>
  </si>
  <si>
    <t>Proces 4</t>
  </si>
  <si>
    <t xml:space="preserve">Rezultatul interimar de abandon al tratamentului cazurilor MDR-TB: numărul și procentul pacienţilor cu tuberculoză drog-rezistentă (RR-TB și/sau MDR-TB) care au întrerupt tratamentul DOTS-Plus către luna a 6 de la demararea acestuia   </t>
  </si>
  <si>
    <t>Indicator de impact 1. Rata mortalităţii  - Numărul estimat de decese cauzate de TB (toate formele) pe an, la 100,000 persoane</t>
  </si>
  <si>
    <t xml:space="preserve">Indicator de impact 2. Prevalența TB MDR printre cazurile noi de tuberculoză </t>
  </si>
  <si>
    <t>Indicator de rezultat 1. Rata succesului tratamentului pacienților cu TB MDR</t>
  </si>
  <si>
    <t xml:space="preserve">Indicator de rezultat 2. Rata de notificare a cazurilor de tuberculoză (toate formele) per 100,000 populație        </t>
  </si>
  <si>
    <t>Indicator de proces 2. Numărul de cazuri de TB DR (RR-TB și/sau MDR-TB), confirmate bacteriologic, notificate</t>
  </si>
  <si>
    <t xml:space="preserve">Indicator de proces 3. Numărul cazurilor cu tuberculoză drog-rezistentă (RR-TB și/sau MDR-TB), confirmate bacteriologic, care au demarat tratamentul DOTS-Plus în perioada raportată                 </t>
  </si>
  <si>
    <t>Indicator de proces 4. Rezultatul interimar de abandon al tratamentului cazurilor MDR-TB</t>
  </si>
  <si>
    <t xml:space="preserve">Impact 2 </t>
  </si>
  <si>
    <t>Definiție (din M&amp;E Plan, Ianuarie 2015)</t>
  </si>
  <si>
    <t xml:space="preserve">Formular de notificare a cazurilor MDR TB (090); Registrul cazurilor MDR TB (03MDR = registru categoria IV); Fișa de tratament a pacienților MDR TB (01)  
</t>
  </si>
  <si>
    <t xml:space="preserve">Formular de notificare a cazurilor MDR TB (090); Registrul cazurilor MDR TB (03MDR = registru categoria IV); Fișa de tratament a pacienților MDR TB (01)  
</t>
  </si>
  <si>
    <t>Numărător: Numărul cazurilor noi de tuberculoză cu cultura pozitivă, testate la sensibilitate pentru preparatele de linia I, diagnosticate cu MDR; Numitor: Numărul total de cazuri noi de tuberculoză cu cultura pozitivă, testate lasensibilitate pentru preparatele de linia I, pe parcursul anului</t>
  </si>
  <si>
    <t>Proces 2</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</si>
  <si>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</si>
  <si>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</si>
  <si>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</si>
  <si>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</si>
  <si>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 xml:space="preserve">Formular de notificare a cazurilor TB (089); Registrul cazurilor TB (03); Fișa de tratament a pacienților TB (01)
</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</si>
  <si>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</si>
  <si>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</si>
  <si>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</si>
  <si>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</si>
  <si>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MDA-T-PCIMU (#678)</t>
  </si>
  <si>
    <t>Period 1</t>
  </si>
  <si>
    <t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t>
  </si>
  <si>
    <t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t>
  </si>
  <si>
    <t>Toate posturile în cadrul echipei ce gestionează Grantul TB al Noului Mecanism de Finanțare sunt ocupate.</t>
  </si>
  <si>
    <t>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</si>
  <si>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Rata mortalităţii  - Numărul de decese cauzate de TB (toate formele) pe an, la 100 000 persoane</t>
  </si>
  <si>
    <t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t>
  </si>
  <si>
    <t>* Include numai AFR categoriile 4,5 și 6  (Produse medicale și Echipamente medicale &amp; Medicamente și Produse farmaceutice)</t>
  </si>
  <si>
    <t xml:space="preserve">Raportul de progres standard către Secretariatul Fondului Global pentru anul 2016 a fost remis donatorului pentru examinare la 20 martie 2017. </t>
  </si>
  <si>
    <t>Evaluarea stocului de medicamente de linia a II și a III, disponibile la nivel central, precum si a livrarilor planificate arata prezența unui stock buffer între 6 și 12 de luni ce previne riscul lipsei de preparate.</t>
  </si>
  <si>
    <t xml:space="preserve">Date preliminare pentru anul 2017. 319 persoane au decedat de tuberculoză în anul 2017 (7,9 decese la 100 000 persoane). 
Notă - Ținta a fost atinsă. Se constată o micșorare cu 14,2% a ratei de mortalitate față de datele anului 2016 (372 cazuri de deces cauzate de tuberculoză), cu 21,8% a ratei de mortalitate față de datele anului 2015 (408 cazuri de deces cauzate de tuberculoză), cu 37,2% a ratei de mortalitate față de datele anului 2014 (508 cazuri de deces cauzate de tuberculoză) și cu 30% față de datele anului 2013 (456 cazuri de deces cauzate de tuberculoză). </t>
  </si>
  <si>
    <t xml:space="preserve">Date preliminare pentru anul 2017. 260 cazuri noi de tuberculoză cu cultura pozitivă, testate la sensibilitate pentru preparatele de linia I, din 1 065 investigate în 2017, au fost diagnosticate cu MDR.
Notă - Se constată menținerea unei rate înalte a TB MDR printre cazurile noi, situație caracteristică ultimilor ani. </t>
  </si>
  <si>
    <r>
      <t xml:space="preserve">Date preliminare pentru anul 2017. </t>
    </r>
    <r>
      <rPr>
        <sz val="9"/>
        <rFont val="Calibri"/>
        <family val="2"/>
      </rPr>
      <t xml:space="preserve">319 persoane au decedat de tuberculoză în anul 2017 (7,9 decese la 100 000 persoane). 
</t>
    </r>
    <r>
      <rPr>
        <b/>
        <sz val="9"/>
        <rFont val="Calibri"/>
        <family val="2"/>
        <charset val="204"/>
      </rPr>
      <t/>
    </r>
  </si>
  <si>
    <r>
      <rPr>
        <b/>
        <sz val="9"/>
        <rFont val="Calibri"/>
        <family val="2"/>
      </rPr>
      <t xml:space="preserve">Date preliminare pentru anul 2017. </t>
    </r>
    <r>
      <rPr>
        <sz val="9"/>
        <rFont val="Calibri"/>
        <family val="2"/>
      </rPr>
      <t xml:space="preserve">260 cazuri noi de tuberculoză cu cultura pozitivă, testate la sensibilitate pentru preparatele de linia I, din 1 065 investigate în 2017, au fost diagnosticate cu MDR.
</t>
    </r>
    <r>
      <rPr>
        <b/>
        <sz val="9"/>
        <rFont val="Calibri"/>
        <family val="2"/>
        <charset val="204"/>
      </rPr>
      <t/>
    </r>
  </si>
  <si>
    <r>
      <t xml:space="preserve">Date preliminare pentru cohorta MDR-TB 2014. </t>
    </r>
    <r>
      <rPr>
        <sz val="9"/>
        <rFont val="Calibri"/>
        <family val="2"/>
      </rPr>
      <t xml:space="preserve">461 cazuri confirmate de TB MDR, din 928 incluse în tratmentul DOTS Plus în anul 2014, au fost tratate cu succes (vindecate și cu tratamente încheiate).  </t>
    </r>
    <r>
      <rPr>
        <b/>
        <sz val="9"/>
        <rFont val="Calibri"/>
        <family val="2"/>
      </rPr>
      <t xml:space="preserve">            </t>
    </r>
    <r>
      <rPr>
        <sz val="9"/>
        <rFont val="Calibri"/>
        <family val="2"/>
      </rPr>
      <t xml:space="preserve">                                                                            
</t>
    </r>
    <r>
      <rPr>
        <b/>
        <sz val="9"/>
        <rFont val="Calibri"/>
        <family val="2"/>
        <charset val="204"/>
      </rPr>
      <t/>
    </r>
  </si>
  <si>
    <t xml:space="preserve">Date preliminare pentru cohorta MDR-TB 2014. 461 cazuri confirmate de TB MDR, din 928 incluse în tratmentul DOTS Plus în anul 2014, au fost tratate cu succes (vindecate și cu tratamente încheiate).                                                                                  
Notă - Totodată, rata de eșec înregistrată a fost de 15,5% (144/928), rata de abandon de 20,1% (186/928) și rata de deces de 14,3% (133/928). În același timp, analiza ratei succesului pe diferite categorii de pacienți a arătat o diferență între cazurile noi și cele de retratament. Astfel, rata de succes printre cazurile noi TB a constituit 63,4% (258/407), atunci cînd printre cele de retratament - 38,9% (203/521). De asemenea, rata de eșec înregistrată printre cazurile noi a fost de 9,8% (40/407) și printre retratamente - 19,9% (104/521); rata de abandon - 14,7% (60/407) și 24,2% (126/521) respectiv; și rata de deces - 11,8% (48/407) și 16,3% (85/521) respectiv. La fel, stratificarea rezultatului de tratament printre cazurile anterior tratate arată o rată de succes de 50,7% (111/219) printre recidive, 26,3% (42/160) printre cazurile revenite după abandon și 22,4% (15/67) printre cazurile după eșec.  </t>
  </si>
  <si>
    <r>
      <rPr>
        <sz val="10"/>
        <rFont val="Calibri"/>
        <family val="2"/>
      </rPr>
      <t>Date preliminare pentru anul 2017. 3 358 cazuri de tuberculoză (toate formele, bacteriologic confirmate și diagnosticate clinic, cazuri noi și recidive) au fost notificate către autoritatea națională în anul 2017.                                                                                                      Notă - Se constată o descreștere continuă a ratei de notificare înregistrate, precum urmează: cu 6% comparativ cu datele anului 2016 (88,63 per 100 000), cu 7% comparativ cu 2015 (89,5 per 100 000), cu 10% comparativ cu 2014 (92,5 per 100 000), cu 14,7% comparativ cu 2013 (97,6 per 100 000) și cu 18,9% comparativ cu anul 2012 (102,7 per 100 000).</t>
    </r>
    <r>
      <rPr>
        <b/>
        <sz val="10"/>
        <color rgb="FFFF0000"/>
        <rFont val="Calibri"/>
        <family val="2"/>
      </rPr>
      <t xml:space="preserve">    </t>
    </r>
  </si>
  <si>
    <r>
      <rPr>
        <sz val="10"/>
        <rFont val="Calibri"/>
        <family val="2"/>
      </rPr>
      <t xml:space="preserve">Date finale pentru anul 2016. 1 031 pacienți cu tuberculoză drog-rezistentă (RR-TB și/sau MDR-TB), confirmate bacteriologic, au fost notificate, față de 868 cazuri estimate pentru perioada raportată.                                                    
Notă - Reducerea numărului de pacienți MDR TB notificați este în directă corespundere cu scăderea incidenței TB.           </t>
    </r>
    <r>
      <rPr>
        <b/>
        <sz val="10"/>
        <color rgb="FFFF0000"/>
        <rFont val="Calibri"/>
        <family val="2"/>
      </rPr>
      <t xml:space="preserve">                                                                                                     </t>
    </r>
  </si>
  <si>
    <r>
      <rPr>
        <sz val="10"/>
        <rFont val="Calibri"/>
        <family val="2"/>
      </rPr>
      <t xml:space="preserve">Date preliminare pentru anul 2017. 976 (și anume: 257 în Q1.2017, 251 în Q2.2017, 231 în Q3.2017 și 237 în Q4.2017) cu tuberculoză drog-rezistentă (RR-TB și/sau MDR-TB), confirmate bacteriologic, au demarat tratamentul DOTS-Plus în anul 2017, față de 730 pacienți preconizați pentru perioada raportată.                                                           Notă - Ținta a fost depășită din cauza includerii în tratamentul DOTS Plus a unui număr adițional de pacienți MDR TB în locul cazurilor de eșec, mortalitate sau pierdute din supraveghere înregistrate. </t>
    </r>
    <r>
      <rPr>
        <b/>
        <sz val="10"/>
        <color rgb="FFFF0000"/>
        <rFont val="Calibri"/>
        <family val="2"/>
      </rPr>
      <t xml:space="preserve">      </t>
    </r>
  </si>
  <si>
    <t xml:space="preserve">Date finale pentru cohorta anului 2016. 103 pacienți din 1 039 incluși în tratamentul DOTS Plus în anul 2016, au abandonat tratamentul către luna a 6 de la demararea tratamentului DOTS Plus.                    
Notă - Analiza cazurilor care au abandonat tratamentul pentru DR-TB ne arată că există o diferență a ratei abandonului printre diferite categorii de pacienți. Astfel, rata interimară de abandon printre cazurile noi de pacienți cu DR-TB aflați în tratament a constituit doar 7% (31/444), pe când printre cazurile de retratamente aceasta a constituit 12% (70/583). Totodată, analizând rata interimară de abandon printre cazurile anterior tratate de pacienții cu DR-TB, se observă că aceasta, la fel, s-a deosebit la diferite tipuri de pacienți: dacă la cazurile după eșec aceasta a fost de 7.3% (15/205), atunci  printre recidive a ajuns la 10,1% (24/237) și printre cazurile după abandon - la 22% (31/141). </t>
  </si>
  <si>
    <t>Angajamente</t>
  </si>
  <si>
    <t>RP avea la 31 decembrie 2017 angajamente semnate pentru livrarea medicamentelor in suma de 1 594 928,51 USD.</t>
  </si>
  <si>
    <t>Cheltuielile și debursările Recipientului Principal pentru perioada raportată au constituit 2.758.833,41 EURO. Cumulativ, pentru întreaga perioadă de realizare a Grantului, au fost cheltuiți 7.482.136,43 EURO față de 7.957.827,08 EURO bugetați, ceea ce constituie 94%. Variația înregistrată se datorează: în mare parte, prețurilor și cantităților mai mici pentru medicamentele antituberculoase destinate tratamentului TB MDR și EDR (2.216.790,55 EURO); prețurilor mai mici decât cele bugetate pentru echipamentul de laborator (50.304,45 EURO); cantităților mai mici de consumabile pentru izolarea tulpinilor, culturi lichide și teste de sensibilitate pentru tehnica MGIT (50.354,92 EURO).</t>
  </si>
  <si>
    <t>Variația</t>
  </si>
  <si>
    <t>%</t>
  </si>
  <si>
    <t>Toate cele trei condiții precedente stipulate în Acordul de Grant au fost îndeplinite.</t>
  </si>
  <si>
    <t>În perioada raportată, Sub-Recipientul a prezentat, în conformitate cu Acordul, două rapoarte trimestriale și raportul cumulativ anual pentru 2017.</t>
  </si>
  <si>
    <t>Catre 31 decembrie 2017, au fost debursați 7 919 803,5 EURO, inclusiv 2 578 990,5 EURO în perioada raportată.</t>
  </si>
  <si>
    <r>
      <t xml:space="preserve">Cumulativ pentru înreaga perioadă de realizare a Grantului, </t>
    </r>
    <r>
      <rPr>
        <sz val="7.7"/>
        <rFont val="Calibri"/>
        <family val="2"/>
        <charset val="204"/>
      </rPr>
      <t xml:space="preserve">în 
cadrul activităților din Obiectivul I, au fost valorificati 2935430,52 EUR față de 2935430,52 EUR bugetați (93,7%).
În cadrul activităților din Obiectivul II, au fost valorificati 4026738,65 EUR față de 4305987,92 EUR bugetați (93,5%).
În cadrul activităților din Obiectivul V, au fost valorificati 229938,58 EUR față de 276154,04 EUR bugetați (83,6%).
În cadrul activităților Managementului Proiectului, au fost valorificati 447510,94 EUR față de 441257,60 EUR bugetați (101,4%).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</si>
</sst>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37">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11"/>
      <color theme="1"/>
      <name val="Arial"/>
      <family val="2"/>
    </font>
    <font>
      <sz val="11"/>
      <color rgb="FFFF0000"/>
      <name val="Calibri"/>
      <family val="2"/>
      <scheme val="minor"/>
    </font>
    <font>
      <sz val="9"/>
      <name val="Calibri"/>
      <family val="2"/>
    </font>
    <font>
      <sz val="8"/>
      <name val="Calibri"/>
      <family val="2"/>
      <charset val="204"/>
    </font>
    <font>
      <sz val="7.7"/>
      <name val="Calibri"/>
      <family val="2"/>
      <charset val="204"/>
    </font>
    <font>
      <sz val="7.7"/>
      <name val="Calibri"/>
      <family val="2"/>
      <charset val="204"/>
      <scheme val="minor"/>
    </font>
    <font>
      <b/>
      <sz val="9"/>
      <name val="Calibri"/>
      <family val="2"/>
      <charset val="204"/>
    </font>
    <font>
      <sz val="10"/>
      <color rgb="FFFF0000"/>
      <name val="Calibri"/>
      <family val="2"/>
    </font>
    <font>
      <sz val="9"/>
      <name val="Calibri"/>
      <family val="2"/>
      <scheme val="minor"/>
    </font>
    <font>
      <sz val="7.7"/>
      <name val="Calibri"/>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s>
  <borders count="231">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medium">
        <color indexed="51"/>
      </right>
      <top style="thin">
        <color indexed="64"/>
      </top>
      <bottom style="thin">
        <color theme="1"/>
      </bottom>
      <diagonal/>
    </border>
    <border>
      <left/>
      <right style="thin">
        <color indexed="64"/>
      </right>
      <top style="thin">
        <color indexed="64"/>
      </top>
      <bottom style="thin">
        <color theme="1"/>
      </bottom>
      <diagonal/>
    </border>
    <border>
      <left style="medium">
        <color indexed="51"/>
      </left>
      <right style="medium">
        <color indexed="51"/>
      </right>
      <top style="thin">
        <color theme="1"/>
      </top>
      <bottom style="thin">
        <color theme="1"/>
      </bottom>
      <diagonal/>
    </border>
    <border>
      <left/>
      <right style="thin">
        <color indexed="64"/>
      </right>
      <top style="thin">
        <color theme="1"/>
      </top>
      <bottom style="thin">
        <color theme="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5"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5" fillId="0" borderId="0"/>
    <xf numFmtId="164" fontId="105" fillId="0" borderId="0"/>
    <xf numFmtId="164" fontId="105" fillId="0" borderId="0"/>
    <xf numFmtId="164" fontId="105" fillId="0" borderId="0"/>
    <xf numFmtId="170" fontId="45" fillId="0" borderId="0"/>
    <xf numFmtId="9" fontId="3" fillId="0" borderId="0" applyFont="0" applyFill="0" applyBorder="0" applyAlignment="0" applyProtection="0"/>
    <xf numFmtId="164" fontId="105"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5" fillId="0" borderId="1" applyNumberFormat="0" applyFill="0" applyAlignment="0" applyProtection="0"/>
  </cellStyleXfs>
  <cellXfs count="984">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5" fillId="0" borderId="0" xfId="14" applyProtection="1"/>
    <xf numFmtId="164" fontId="8" fillId="0" borderId="0" xfId="14" applyFont="1" applyProtection="1"/>
    <xf numFmtId="170" fontId="11" fillId="0" borderId="0" xfId="14" applyNumberFormat="1" applyFont="1" applyBorder="1" applyProtection="1"/>
    <xf numFmtId="164" fontId="105" fillId="0" borderId="0" xfId="16" applyProtection="1"/>
    <xf numFmtId="164" fontId="105" fillId="0" borderId="0" xfId="16" applyFill="1" applyBorder="1" applyAlignment="1" applyProtection="1">
      <alignment horizontal="left"/>
    </xf>
    <xf numFmtId="170" fontId="0" fillId="0" borderId="0" xfId="0" applyFill="1" applyBorder="1" applyProtection="1"/>
    <xf numFmtId="164" fontId="105"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05"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05"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54" fillId="3" borderId="0" xfId="0" applyNumberFormat="1" applyFont="1" applyFill="1" applyBorder="1" applyAlignment="1">
      <alignment horizontal="center"/>
    </xf>
    <xf numFmtId="170" fontId="54" fillId="0" borderId="0" xfId="0" applyFont="1" applyFill="1" applyBorder="1" applyAlignment="1" applyProtection="1">
      <alignment horizontal="left"/>
    </xf>
    <xf numFmtId="170" fontId="55"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5"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5"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56" fillId="0" borderId="0" xfId="0" applyFont="1"/>
    <xf numFmtId="164" fontId="7" fillId="0" borderId="0" xfId="0" applyNumberFormat="1" applyFont="1" applyAlignment="1" applyProtection="1">
      <alignment horizontal="center"/>
    </xf>
    <xf numFmtId="164" fontId="13" fillId="0" borderId="25" xfId="20" applyFont="1" applyBorder="1" applyAlignment="1" applyProtection="1">
      <alignment horizontal="right"/>
    </xf>
    <xf numFmtId="170" fontId="6" fillId="0" borderId="0" xfId="0" applyFont="1"/>
    <xf numFmtId="170" fontId="0" fillId="3" borderId="0" xfId="0" applyFill="1" applyProtection="1"/>
    <xf numFmtId="170" fontId="0" fillId="3" borderId="26" xfId="0" applyFill="1" applyBorder="1" applyProtection="1"/>
    <xf numFmtId="164" fontId="62" fillId="0" borderId="0" xfId="0" applyNumberFormat="1" applyFont="1"/>
    <xf numFmtId="170" fontId="62" fillId="0" borderId="0" xfId="0" applyFont="1"/>
    <xf numFmtId="164" fontId="0" fillId="0" borderId="0" xfId="0" quotePrefix="1" applyNumberFormat="1"/>
    <xf numFmtId="164" fontId="0" fillId="0" borderId="0" xfId="0" applyNumberFormat="1"/>
    <xf numFmtId="164" fontId="105" fillId="0" borderId="0" xfId="17" applyFill="1" applyBorder="1" applyAlignment="1" applyProtection="1">
      <alignment horizontal="center"/>
    </xf>
    <xf numFmtId="170" fontId="27" fillId="0" borderId="0" xfId="0" quotePrefix="1" applyFont="1" applyProtection="1"/>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0" fontId="44" fillId="0" borderId="30" xfId="0" applyFont="1" applyBorder="1" applyAlignment="1">
      <alignment horizontal="justify" vertical="center" wrapText="1"/>
    </xf>
    <xf numFmtId="170" fontId="61" fillId="0" borderId="29" xfId="0" applyFont="1" applyBorder="1" applyAlignment="1">
      <alignment horizontal="justify" vertical="center" wrapText="1"/>
    </xf>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8" xfId="0" applyFont="1" applyBorder="1" applyAlignment="1">
      <alignment vertical="center" wrapText="1"/>
    </xf>
    <xf numFmtId="170" fontId="60" fillId="0" borderId="29" xfId="0" applyFont="1" applyBorder="1" applyAlignment="1">
      <alignment vertical="center" wrapText="1"/>
    </xf>
    <xf numFmtId="170" fontId="2" fillId="0" borderId="31"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2" xfId="0" applyNumberFormat="1" applyFont="1" applyFill="1" applyBorder="1" applyAlignment="1" applyProtection="1">
      <alignment horizontal="center"/>
      <protection locked="0"/>
    </xf>
    <xf numFmtId="166" fontId="0" fillId="0" borderId="0" xfId="0" applyNumberFormat="1" applyProtection="1"/>
    <xf numFmtId="164" fontId="13" fillId="0" borderId="0" xfId="15" applyFont="1" applyFill="1" applyAlignment="1" applyProtection="1">
      <alignment horizontal="right" vertical="center"/>
    </xf>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3"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85" fillId="0" borderId="0" xfId="0" applyFont="1" applyBorder="1" applyAlignment="1" applyProtection="1">
      <alignment horizontal="right"/>
    </xf>
    <xf numFmtId="170" fontId="85" fillId="0" borderId="0" xfId="0" applyFont="1" applyAlignment="1" applyProtection="1">
      <alignment horizontal="right"/>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0" fillId="0" borderId="0" xfId="0" applyFill="1" applyBorder="1" applyProtection="1">
      <protection locked="0"/>
    </xf>
    <xf numFmtId="170" fontId="71" fillId="0" borderId="0" xfId="0" applyFont="1" applyFill="1" applyBorder="1" applyAlignment="1" applyProtection="1">
      <alignment horizontal="center" vertical="center"/>
    </xf>
    <xf numFmtId="170" fontId="4" fillId="0" borderId="34" xfId="0" applyFont="1" applyBorder="1" applyAlignment="1" applyProtection="1"/>
    <xf numFmtId="170" fontId="4" fillId="0" borderId="35" xfId="0" applyFont="1" applyBorder="1" applyAlignment="1" applyProtection="1"/>
    <xf numFmtId="170" fontId="18" fillId="0" borderId="36" xfId="0" applyFont="1" applyBorder="1" applyAlignment="1" applyProtection="1">
      <alignment vertical="distributed"/>
    </xf>
    <xf numFmtId="15" fontId="20" fillId="0" borderId="37"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80" fillId="0" borderId="0" xfId="0" applyFont="1" applyFill="1" applyBorder="1" applyAlignment="1" applyProtection="1">
      <alignment horizontal="left"/>
      <protection locked="0"/>
    </xf>
    <xf numFmtId="170" fontId="19" fillId="0" borderId="38" xfId="0" applyFont="1" applyFill="1" applyBorder="1" applyAlignment="1" applyProtection="1"/>
    <xf numFmtId="15" fontId="19" fillId="0" borderId="2" xfId="0" applyNumberFormat="1" applyFont="1" applyFill="1" applyBorder="1" applyAlignment="1" applyProtection="1">
      <alignment horizontal="center"/>
    </xf>
    <xf numFmtId="15" fontId="19" fillId="0" borderId="39"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40"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1"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0" fillId="0" borderId="23" xfId="0" applyBorder="1" applyAlignment="1">
      <alignment horizontal="center" wrapText="1"/>
    </xf>
    <xf numFmtId="170" fontId="21" fillId="0" borderId="23" xfId="0" applyFont="1" applyBorder="1" applyAlignment="1">
      <alignment horizontal="center" wrapText="1"/>
    </xf>
    <xf numFmtId="170" fontId="1" fillId="0" borderId="40" xfId="0" applyFont="1" applyFill="1" applyBorder="1" applyAlignment="1" applyProtection="1">
      <alignment horizontal="center" wrapText="1"/>
    </xf>
    <xf numFmtId="3" fontId="45" fillId="7" borderId="2" xfId="0" applyNumberFormat="1" applyFont="1" applyFill="1" applyBorder="1" applyAlignment="1" applyProtection="1">
      <alignment horizontal="right" vertical="center"/>
      <protection locked="0"/>
    </xf>
    <xf numFmtId="170" fontId="51" fillId="0" borderId="42" xfId="0" applyFont="1" applyFill="1" applyBorder="1" applyAlignment="1" applyProtection="1">
      <alignment horizontal="center" vertical="center"/>
    </xf>
    <xf numFmtId="170" fontId="17" fillId="0" borderId="0" xfId="0" applyFont="1" applyProtection="1"/>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3" xfId="0" applyFont="1" applyFill="1" applyBorder="1" applyAlignment="1" applyProtection="1">
      <alignment horizontal="center" wrapText="1"/>
    </xf>
    <xf numFmtId="170" fontId="14" fillId="3" borderId="28" xfId="0" applyFont="1" applyFill="1" applyBorder="1" applyAlignment="1" applyProtection="1"/>
    <xf numFmtId="170" fontId="14" fillId="3" borderId="44" xfId="0" applyFont="1" applyFill="1" applyBorder="1" applyAlignment="1" applyProtection="1"/>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170" fontId="0" fillId="0" borderId="19" xfId="0" applyBorder="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17" fillId="6" borderId="25" xfId="20"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5" xfId="0" applyNumberFormat="1" applyFill="1" applyBorder="1" applyProtection="1">
      <protection locked="0"/>
    </xf>
    <xf numFmtId="4" fontId="0" fillId="0" borderId="0" xfId="0" applyNumberFormat="1" applyProtection="1"/>
    <xf numFmtId="165" fontId="25" fillId="2" borderId="46" xfId="0" applyNumberFormat="1" applyFont="1" applyFill="1" applyBorder="1" applyAlignment="1" applyProtection="1">
      <alignment horizontal="center"/>
      <protection locked="0"/>
    </xf>
    <xf numFmtId="165" fontId="25" fillId="2" borderId="47"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70" fontId="0" fillId="0" borderId="51" xfId="0" applyFill="1" applyBorder="1" applyAlignment="1" applyProtection="1">
      <alignment horizontal="center"/>
    </xf>
    <xf numFmtId="164" fontId="1" fillId="0" borderId="25" xfId="20" applyFont="1" applyBorder="1" applyAlignment="1" applyProtection="1">
      <alignment horizontal="right"/>
    </xf>
    <xf numFmtId="164" fontId="94" fillId="0" borderId="0" xfId="16" applyFont="1" applyFill="1" applyBorder="1" applyProtection="1"/>
    <xf numFmtId="3" fontId="21" fillId="9" borderId="46" xfId="0" applyNumberFormat="1" applyFont="1" applyFill="1" applyBorder="1" applyAlignment="1" applyProtection="1">
      <protection locked="0"/>
    </xf>
    <xf numFmtId="3" fontId="21" fillId="9" borderId="52"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3" xfId="0" applyNumberFormat="1" applyFont="1" applyFill="1" applyBorder="1" applyAlignment="1" applyProtection="1"/>
    <xf numFmtId="165" fontId="7" fillId="2" borderId="56" xfId="0" applyNumberFormat="1" applyFont="1" applyFill="1" applyBorder="1" applyAlignment="1" applyProtection="1">
      <alignment horizontal="center"/>
      <protection locked="0"/>
    </xf>
    <xf numFmtId="165" fontId="7" fillId="2" borderId="57" xfId="0" applyNumberFormat="1" applyFont="1" applyFill="1" applyBorder="1" applyAlignment="1" applyProtection="1">
      <alignment horizontal="center"/>
      <protection locked="0"/>
    </xf>
    <xf numFmtId="170" fontId="0" fillId="9" borderId="2" xfId="0" applyFill="1" applyBorder="1" applyProtection="1"/>
    <xf numFmtId="170" fontId="0" fillId="6" borderId="2" xfId="0" applyFill="1" applyBorder="1" applyProtection="1"/>
    <xf numFmtId="49" fontId="18" fillId="0" borderId="58" xfId="0" applyNumberFormat="1" applyFont="1" applyFill="1" applyBorder="1" applyAlignment="1" applyProtection="1">
      <alignment vertical="center" wrapText="1"/>
    </xf>
    <xf numFmtId="170" fontId="63" fillId="0" borderId="59" xfId="0" applyNumberFormat="1" applyFont="1" applyFill="1" applyBorder="1" applyAlignment="1" applyProtection="1">
      <alignment horizontal="center" vertical="center" wrapText="1"/>
    </xf>
    <xf numFmtId="170" fontId="63" fillId="0" borderId="60" xfId="0" applyNumberFormat="1" applyFont="1" applyFill="1" applyBorder="1" applyAlignment="1" applyProtection="1">
      <alignment horizontal="center" vertical="center" wrapText="1"/>
    </xf>
    <xf numFmtId="170" fontId="19" fillId="0" borderId="61" xfId="0" applyFont="1" applyFill="1" applyBorder="1" applyAlignment="1" applyProtection="1">
      <alignment wrapText="1"/>
      <protection locked="0"/>
    </xf>
    <xf numFmtId="170" fontId="0" fillId="0" borderId="62"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70" fontId="0" fillId="6" borderId="2" xfId="0" applyNumberFormat="1" applyFill="1" applyBorder="1" applyProtection="1">
      <protection locked="0"/>
    </xf>
    <xf numFmtId="170" fontId="0" fillId="0" borderId="2" xfId="0" applyNumberFormat="1" applyFill="1" applyBorder="1" applyProtection="1"/>
    <xf numFmtId="170" fontId="0" fillId="6" borderId="2" xfId="0" applyNumberFormat="1" applyFill="1" applyBorder="1" applyAlignment="1" applyProtection="1">
      <alignment horizontal="center"/>
      <protection locked="0"/>
    </xf>
    <xf numFmtId="49" fontId="0" fillId="6" borderId="45" xfId="0" applyNumberFormat="1" applyFill="1" applyBorder="1" applyAlignment="1" applyProtection="1">
      <alignment horizontal="left"/>
      <protection locked="0"/>
    </xf>
    <xf numFmtId="170" fontId="0" fillId="6" borderId="45" xfId="0" applyNumberFormat="1" applyFill="1" applyBorder="1" applyProtection="1">
      <protection locked="0"/>
    </xf>
    <xf numFmtId="170" fontId="0" fillId="6" borderId="45" xfId="0" applyNumberFormat="1" applyFill="1" applyBorder="1" applyAlignment="1" applyProtection="1">
      <alignment horizontal="center"/>
      <protection locked="0"/>
    </xf>
    <xf numFmtId="164" fontId="105" fillId="9" borderId="63" xfId="23" applyFill="1" applyBorder="1" applyAlignment="1" applyProtection="1">
      <alignment vertical="center"/>
    </xf>
    <xf numFmtId="170" fontId="0" fillId="5" borderId="64" xfId="0" applyFill="1" applyBorder="1"/>
    <xf numFmtId="170" fontId="0" fillId="0" borderId="12" xfId="0" applyBorder="1" applyProtection="1"/>
    <xf numFmtId="164" fontId="32" fillId="6" borderId="65" xfId="23" applyFont="1" applyFill="1" applyBorder="1" applyAlignment="1" applyProtection="1">
      <alignment horizontal="center" vertical="center"/>
    </xf>
    <xf numFmtId="164" fontId="32" fillId="0" borderId="66" xfId="23" applyFont="1" applyFill="1" applyBorder="1" applyAlignment="1" applyProtection="1">
      <alignment vertical="center"/>
    </xf>
    <xf numFmtId="170" fontId="0" fillId="0" borderId="67" xfId="0" applyNumberFormat="1" applyFill="1" applyBorder="1"/>
    <xf numFmtId="15" fontId="20" fillId="0" borderId="68"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5" xfId="0" applyNumberFormat="1" applyFill="1" applyBorder="1" applyAlignment="1" applyProtection="1">
      <alignment horizontal="center"/>
    </xf>
    <xf numFmtId="168" fontId="0" fillId="0" borderId="45" xfId="0" applyNumberForma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3" fontId="45" fillId="12"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vertical="center"/>
      <protection locked="0"/>
    </xf>
    <xf numFmtId="3" fontId="45" fillId="7" borderId="20" xfId="0" applyNumberFormat="1" applyFont="1" applyFill="1" applyBorder="1" applyAlignment="1" applyProtection="1">
      <alignment horizontal="right" vertical="center"/>
      <protection locked="0"/>
    </xf>
    <xf numFmtId="170" fontId="0" fillId="0" borderId="81" xfId="0" applyBorder="1"/>
    <xf numFmtId="170" fontId="0" fillId="0" borderId="45" xfId="0" applyNumberFormat="1" applyFill="1" applyBorder="1" applyProtection="1"/>
    <xf numFmtId="3" fontId="0" fillId="0" borderId="45" xfId="0" applyNumberFormat="1" applyFill="1" applyBorder="1" applyProtection="1"/>
    <xf numFmtId="168" fontId="0" fillId="0" borderId="45" xfId="0" applyNumberFormat="1" applyFill="1" applyBorder="1" applyAlignment="1" applyProtection="1">
      <alignment horizontal="center"/>
    </xf>
    <xf numFmtId="170" fontId="0" fillId="0" borderId="82" xfId="0" applyBorder="1" applyAlignment="1" applyProtection="1">
      <alignment horizontal="center" wrapText="1"/>
    </xf>
    <xf numFmtId="3" fontId="0" fillId="0" borderId="45" xfId="0" applyNumberFormat="1" applyBorder="1" applyAlignment="1" applyProtection="1">
      <alignment horizontal="right" wrapText="1"/>
    </xf>
    <xf numFmtId="3" fontId="0" fillId="6" borderId="83" xfId="0" applyNumberFormat="1" applyFill="1" applyBorder="1" applyAlignment="1" applyProtection="1">
      <alignment horizontal="right" wrapText="1"/>
      <protection locked="0"/>
    </xf>
    <xf numFmtId="168" fontId="0" fillId="0" borderId="83" xfId="0" applyNumberFormat="1" applyFill="1" applyBorder="1" applyProtection="1"/>
    <xf numFmtId="168" fontId="0" fillId="0" borderId="84" xfId="0" applyNumberFormat="1" applyFill="1" applyBorder="1" applyProtection="1"/>
    <xf numFmtId="3" fontId="101" fillId="7" borderId="2" xfId="0" applyNumberFormat="1" applyFont="1" applyFill="1" applyBorder="1" applyAlignment="1" applyProtection="1">
      <alignment vertical="center"/>
      <protection locked="0"/>
    </xf>
    <xf numFmtId="3" fontId="101" fillId="7" borderId="2"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horizontal="right" vertical="center"/>
      <protection locked="0"/>
    </xf>
    <xf numFmtId="49" fontId="19" fillId="0" borderId="61" xfId="0" applyNumberFormat="1" applyFont="1" applyFill="1" applyBorder="1" applyAlignment="1" applyProtection="1">
      <alignment horizontal="justify" wrapText="1"/>
      <protection locked="0"/>
    </xf>
    <xf numFmtId="49" fontId="19" fillId="0" borderId="61" xfId="0" applyNumberFormat="1" applyFont="1" applyFill="1" applyBorder="1" applyAlignment="1" applyProtection="1">
      <alignment horizontal="justify"/>
      <protection locked="0"/>
    </xf>
    <xf numFmtId="170" fontId="101" fillId="0" borderId="2" xfId="0" applyFont="1" applyFill="1" applyBorder="1" applyAlignment="1" applyProtection="1">
      <alignment horizontal="center"/>
    </xf>
    <xf numFmtId="170" fontId="101" fillId="10" borderId="2" xfId="0" applyFont="1" applyFill="1" applyBorder="1" applyAlignment="1" applyProtection="1">
      <alignment horizontal="center"/>
    </xf>
    <xf numFmtId="170" fontId="0" fillId="0" borderId="13" xfId="0" applyBorder="1" applyAlignment="1" applyProtection="1">
      <alignment horizontal="center"/>
    </xf>
    <xf numFmtId="164" fontId="102"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51" fillId="0" borderId="85" xfId="0" applyFont="1" applyFill="1" applyBorder="1" applyAlignment="1" applyProtection="1">
      <alignment horizontal="center" vertical="center" wrapText="1"/>
    </xf>
    <xf numFmtId="170" fontId="101" fillId="0" borderId="79" xfId="0" applyFont="1" applyFill="1" applyBorder="1" applyAlignment="1" applyProtection="1">
      <alignment horizontal="center"/>
    </xf>
    <xf numFmtId="49" fontId="56" fillId="0" borderId="2" xfId="0" applyNumberFormat="1" applyFont="1" applyBorder="1" applyAlignment="1" applyProtection="1">
      <alignment horizontal="center" wrapText="1"/>
      <protection locked="0"/>
    </xf>
    <xf numFmtId="170" fontId="103" fillId="0" borderId="86"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1" fillId="5" borderId="88" xfId="0" applyNumberFormat="1" applyFont="1" applyFill="1" applyBorder="1" applyAlignment="1" applyProtection="1">
      <alignment vertical="center" wrapText="1"/>
      <protection locked="0"/>
    </xf>
    <xf numFmtId="170" fontId="101" fillId="7" borderId="88" xfId="0" applyNumberFormat="1" applyFont="1" applyFill="1" applyBorder="1" applyAlignment="1" applyProtection="1">
      <alignment vertical="center" wrapText="1"/>
      <protection locked="0"/>
    </xf>
    <xf numFmtId="170" fontId="101" fillId="7" borderId="89" xfId="0" applyNumberFormat="1" applyFont="1" applyFill="1" applyBorder="1" applyAlignment="1" applyProtection="1">
      <alignment vertical="center" wrapText="1"/>
      <protection locked="0"/>
    </xf>
    <xf numFmtId="170" fontId="106" fillId="0" borderId="0" xfId="0" applyFont="1" applyAlignment="1" applyProtection="1">
      <alignment horizontal="left" vertical="center"/>
    </xf>
    <xf numFmtId="170" fontId="106"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0" fillId="3" borderId="0" xfId="0" applyFill="1" applyAlignment="1" applyProtection="1">
      <alignment horizontal="center"/>
    </xf>
    <xf numFmtId="3" fontId="30" fillId="0" borderId="38" xfId="0" applyNumberFormat="1" applyFont="1" applyFill="1" applyBorder="1" applyAlignment="1" applyProtection="1">
      <alignment horizontal="center"/>
    </xf>
    <xf numFmtId="3" fontId="30" fillId="0" borderId="82"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1" fontId="17" fillId="6" borderId="25" xfId="20" applyNumberFormat="1" applyFont="1" applyFill="1" applyBorder="1" applyAlignment="1" applyProtection="1">
      <alignment horizontal="center"/>
    </xf>
    <xf numFmtId="170" fontId="51" fillId="0" borderId="90" xfId="0" applyFont="1" applyFill="1" applyBorder="1" applyAlignment="1" applyProtection="1">
      <alignment horizontal="center" vertical="center" wrapText="1"/>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170" fontId="38" fillId="0" borderId="99" xfId="0" applyNumberFormat="1" applyFont="1" applyFill="1" applyBorder="1" applyAlignment="1" applyProtection="1">
      <alignment horizontal="right"/>
    </xf>
    <xf numFmtId="170" fontId="51" fillId="0" borderId="100" xfId="0" applyNumberFormat="1" applyFont="1" applyFill="1" applyBorder="1" applyAlignment="1" applyProtection="1">
      <alignment horizontal="center"/>
    </xf>
    <xf numFmtId="170" fontId="38" fillId="0" borderId="101" xfId="0" applyNumberFormat="1" applyFont="1" applyFill="1" applyBorder="1" applyAlignment="1" applyProtection="1">
      <alignment horizontal="right"/>
    </xf>
    <xf numFmtId="170" fontId="51" fillId="0" borderId="100" xfId="0" applyNumberFormat="1" applyFont="1" applyFill="1" applyBorder="1" applyAlignment="1" applyProtection="1">
      <alignment horizontal="center" vertical="center"/>
    </xf>
    <xf numFmtId="3" fontId="80" fillId="9" borderId="46" xfId="0" applyNumberFormat="1" applyFont="1" applyFill="1" applyBorder="1" applyAlignment="1" applyProtection="1">
      <protection locked="0"/>
    </xf>
    <xf numFmtId="3" fontId="80" fillId="9" borderId="52"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3" xfId="0" applyNumberFormat="1" applyFont="1" applyFill="1" applyBorder="1" applyAlignment="1" applyProtection="1"/>
    <xf numFmtId="3" fontId="14" fillId="9" borderId="102" xfId="1" applyNumberFormat="1" applyFont="1" applyFill="1" applyBorder="1" applyAlignment="1" applyProtection="1">
      <protection locked="0"/>
    </xf>
    <xf numFmtId="3" fontId="14" fillId="9" borderId="103" xfId="1" applyNumberFormat="1" applyFont="1" applyFill="1" applyBorder="1" applyProtection="1">
      <protection locked="0"/>
    </xf>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6" xfId="1" applyNumberFormat="1" applyFont="1" applyFill="1" applyBorder="1" applyAlignment="1" applyProtection="1">
      <protection locked="0"/>
    </xf>
    <xf numFmtId="3" fontId="107" fillId="6" borderId="2" xfId="0" applyNumberFormat="1" applyFont="1" applyFill="1" applyBorder="1" applyAlignment="1" applyProtection="1">
      <alignment horizontal="right" wrapText="1"/>
      <protection locked="0"/>
    </xf>
    <xf numFmtId="3" fontId="107" fillId="0" borderId="2" xfId="0" applyNumberFormat="1" applyFont="1" applyBorder="1" applyAlignment="1" applyProtection="1">
      <alignment horizontal="right" wrapText="1"/>
    </xf>
    <xf numFmtId="3" fontId="107" fillId="0" borderId="45" xfId="0" applyNumberFormat="1" applyFont="1" applyBorder="1" applyAlignment="1" applyProtection="1">
      <alignment horizontal="right" wrapText="1"/>
    </xf>
    <xf numFmtId="3" fontId="108" fillId="9" borderId="83" xfId="0" applyNumberFormat="1" applyFont="1" applyFill="1" applyBorder="1" applyAlignment="1" applyProtection="1">
      <alignment horizontal="centerContinuous"/>
    </xf>
    <xf numFmtId="0" fontId="109" fillId="0" borderId="0" xfId="0" applyNumberFormat="1" applyFont="1" applyAlignment="1" applyProtection="1">
      <alignment horizontal="center" vertical="center"/>
    </xf>
    <xf numFmtId="171" fontId="21" fillId="0" borderId="0" xfId="0" applyNumberFormat="1" applyFont="1" applyAlignment="1" applyProtection="1">
      <alignment horizontal="center"/>
    </xf>
    <xf numFmtId="171" fontId="21" fillId="0" borderId="0" xfId="0" applyNumberFormat="1" applyFont="1"/>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0" fontId="92" fillId="5" borderId="28" xfId="0" applyFont="1" applyFill="1" applyBorder="1" applyAlignment="1">
      <alignment horizontal="justify" vertical="center" wrapText="1"/>
    </xf>
    <xf numFmtId="170" fontId="92" fillId="5" borderId="29" xfId="0" applyFont="1" applyFill="1" applyBorder="1" applyAlignment="1">
      <alignment horizontal="justify" vertical="center" wrapText="1"/>
    </xf>
    <xf numFmtId="170" fontId="92" fillId="5" borderId="30" xfId="0" applyFont="1" applyFill="1" applyBorder="1" applyAlignment="1">
      <alignment horizontal="justify" vertical="center" wrapText="1"/>
    </xf>
    <xf numFmtId="170" fontId="101"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75" fontId="21" fillId="0" borderId="2" xfId="0" applyNumberFormat="1" applyFont="1" applyFill="1" applyBorder="1" applyAlignment="1" applyProtection="1">
      <alignment horizontal="center" vertical="center" wrapText="1"/>
    </xf>
    <xf numFmtId="168" fontId="101" fillId="7" borderId="2" xfId="0" applyNumberFormat="1" applyFont="1" applyFill="1" applyBorder="1" applyAlignment="1" applyProtection="1">
      <alignment horizontal="right" vertical="center"/>
      <protection locked="0"/>
    </xf>
    <xf numFmtId="168" fontId="45" fillId="7" borderId="2" xfId="0" applyNumberFormat="1" applyFont="1" applyFill="1" applyBorder="1" applyAlignment="1" applyProtection="1">
      <alignment horizontal="right" vertical="center"/>
      <protection locked="0"/>
    </xf>
    <xf numFmtId="1" fontId="107" fillId="9" borderId="39" xfId="0" applyNumberFormat="1" applyFont="1" applyFill="1" applyBorder="1" applyAlignment="1" applyProtection="1">
      <alignment horizontal="center"/>
      <protection locked="0"/>
    </xf>
    <xf numFmtId="1" fontId="107" fillId="9" borderId="53" xfId="0" applyNumberFormat="1" applyFont="1" applyFill="1" applyBorder="1" applyAlignment="1" applyProtection="1">
      <alignment horizontal="center"/>
      <protection locked="0"/>
    </xf>
    <xf numFmtId="1" fontId="107" fillId="9" borderId="107" xfId="0" applyNumberFormat="1" applyFont="1" applyFill="1" applyBorder="1" applyAlignment="1" applyProtection="1">
      <alignment horizontal="center"/>
      <protection locked="0"/>
    </xf>
    <xf numFmtId="165" fontId="8" fillId="0" borderId="0" xfId="0" applyNumberFormat="1" applyFont="1" applyFill="1"/>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07" fillId="0" borderId="83" xfId="0" applyNumberFormat="1" applyFont="1" applyBorder="1" applyAlignment="1" applyProtection="1">
      <alignment horizontal="right" wrapText="1"/>
    </xf>
    <xf numFmtId="3" fontId="107" fillId="0" borderId="84" xfId="0" applyNumberFormat="1" applyFont="1" applyBorder="1" applyAlignment="1" applyProtection="1">
      <alignment horizontal="right" wrapText="1"/>
    </xf>
    <xf numFmtId="3" fontId="0" fillId="0" borderId="0" xfId="0" applyNumberFormat="1" applyFill="1" applyBorder="1"/>
    <xf numFmtId="170" fontId="110" fillId="0" borderId="0" xfId="0" applyFont="1"/>
    <xf numFmtId="170" fontId="34" fillId="0" borderId="0" xfId="0" applyFont="1" applyAlignment="1">
      <alignment horizontal="center"/>
    </xf>
    <xf numFmtId="170" fontId="34" fillId="0" borderId="0" xfId="0" applyFont="1" applyBorder="1" applyAlignment="1">
      <alignment horizontal="center"/>
    </xf>
    <xf numFmtId="49" fontId="107" fillId="0" borderId="2" xfId="0" applyNumberFormat="1" applyFont="1" applyFill="1" applyBorder="1" applyAlignment="1" applyProtection="1">
      <alignment horizontal="center"/>
      <protection locked="0"/>
    </xf>
    <xf numFmtId="170" fontId="114" fillId="0" borderId="0" xfId="0" applyFont="1" applyFill="1" applyBorder="1" applyAlignment="1" applyProtection="1">
      <alignment horizontal="right"/>
    </xf>
    <xf numFmtId="171" fontId="14" fillId="0" borderId="2" xfId="20" applyNumberFormat="1" applyFont="1" applyFill="1" applyBorder="1" applyAlignment="1" applyProtection="1">
      <alignment horizontal="center"/>
      <protection locked="0"/>
    </xf>
    <xf numFmtId="170" fontId="114" fillId="0" borderId="87" xfId="0" applyFont="1" applyFill="1" applyBorder="1" applyAlignment="1" applyProtection="1">
      <alignment horizontal="right"/>
    </xf>
    <xf numFmtId="3" fontId="14" fillId="9" borderId="46" xfId="0" applyNumberFormat="1" applyFont="1" applyFill="1" applyBorder="1" applyAlignment="1" applyProtection="1">
      <protection locked="0"/>
    </xf>
    <xf numFmtId="3" fontId="14" fillId="0" borderId="220" xfId="0" applyNumberFormat="1" applyFont="1" applyFill="1" applyBorder="1" applyAlignment="1" applyProtection="1"/>
    <xf numFmtId="1" fontId="14" fillId="3" borderId="108" xfId="0" applyNumberFormat="1" applyFont="1" applyFill="1" applyBorder="1" applyAlignment="1" applyProtection="1">
      <alignment horizontal="center"/>
    </xf>
    <xf numFmtId="1" fontId="107" fillId="9" borderId="2" xfId="0" applyNumberFormat="1" applyFont="1" applyFill="1" applyBorder="1" applyAlignment="1" applyProtection="1">
      <alignment horizontal="center"/>
      <protection locked="0"/>
    </xf>
    <xf numFmtId="3" fontId="107" fillId="6" borderId="32" xfId="0" applyNumberFormat="1" applyFont="1" applyFill="1" applyBorder="1" applyAlignment="1" applyProtection="1">
      <alignment horizontal="center"/>
      <protection locked="0"/>
    </xf>
    <xf numFmtId="3" fontId="107" fillId="0" borderId="17" xfId="0" applyNumberFormat="1" applyFont="1" applyFill="1" applyBorder="1" applyAlignment="1" applyProtection="1">
      <alignment horizontal="center"/>
    </xf>
    <xf numFmtId="3" fontId="107" fillId="6" borderId="17" xfId="0" applyNumberFormat="1" applyFont="1" applyFill="1" applyBorder="1" applyAlignment="1" applyProtection="1">
      <alignment horizontal="center"/>
      <protection locked="0"/>
    </xf>
    <xf numFmtId="170" fontId="107" fillId="0" borderId="0" xfId="0" applyFont="1" applyBorder="1" applyProtection="1"/>
    <xf numFmtId="1" fontId="107" fillId="6" borderId="2" xfId="0" applyNumberFormat="1" applyFont="1" applyFill="1" applyBorder="1" applyAlignment="1" applyProtection="1">
      <alignment horizontal="center"/>
      <protection locked="0"/>
    </xf>
    <xf numFmtId="1" fontId="107" fillId="0" borderId="108" xfId="0" applyNumberFormat="1" applyFont="1" applyFill="1" applyBorder="1" applyAlignment="1" applyProtection="1">
      <alignment horizontal="center"/>
    </xf>
    <xf numFmtId="1" fontId="107" fillId="6" borderId="32" xfId="0" applyNumberFormat="1" applyFont="1" applyFill="1" applyBorder="1" applyAlignment="1" applyProtection="1">
      <alignment horizontal="center"/>
      <protection locked="0"/>
    </xf>
    <xf numFmtId="3" fontId="107" fillId="3" borderId="17" xfId="0" applyNumberFormat="1" applyFont="1" applyFill="1" applyBorder="1" applyAlignment="1" applyProtection="1">
      <alignment horizontal="center"/>
      <protection locked="0"/>
    </xf>
    <xf numFmtId="3" fontId="107" fillId="0" borderId="2" xfId="0" applyNumberFormat="1" applyFont="1" applyFill="1" applyBorder="1"/>
    <xf numFmtId="3" fontId="107" fillId="0" borderId="45" xfId="0" applyNumberFormat="1" applyFont="1" applyFill="1" applyBorder="1"/>
    <xf numFmtId="168" fontId="115" fillId="7" borderId="2" xfId="0" applyNumberFormat="1" applyFont="1" applyFill="1" applyBorder="1" applyAlignment="1" applyProtection="1">
      <alignment horizontal="right" vertical="center"/>
      <protection locked="0"/>
    </xf>
    <xf numFmtId="170" fontId="107" fillId="0" borderId="0" xfId="0" applyFont="1" applyBorder="1" applyAlignment="1">
      <alignment horizontal="left"/>
    </xf>
    <xf numFmtId="170" fontId="107" fillId="0" borderId="0" xfId="0" applyFont="1"/>
    <xf numFmtId="9" fontId="116" fillId="0" borderId="0" xfId="0" applyNumberFormat="1" applyFont="1" applyFill="1" applyBorder="1" applyAlignment="1" applyProtection="1"/>
    <xf numFmtId="170" fontId="92" fillId="0" borderId="0" xfId="0" applyFont="1" applyFill="1" applyBorder="1" applyAlignment="1" applyProtection="1">
      <alignment horizontal="center" vertical="center"/>
    </xf>
    <xf numFmtId="9" fontId="116"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2" fillId="3" borderId="0" xfId="0" applyFont="1" applyFill="1" applyBorder="1" applyAlignment="1" applyProtection="1">
      <alignment horizontal="center" vertical="center"/>
    </xf>
    <xf numFmtId="170" fontId="117"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6" fillId="3" borderId="0" xfId="0" applyNumberFormat="1" applyFont="1" applyFill="1" applyBorder="1" applyProtection="1"/>
    <xf numFmtId="9" fontId="116"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8"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6" fillId="0" borderId="0" xfId="0" applyNumberFormat="1" applyFont="1" applyFill="1" applyBorder="1" applyProtection="1"/>
    <xf numFmtId="170" fontId="41" fillId="0" borderId="0" xfId="0" applyFont="1" applyFill="1" applyBorder="1" applyProtection="1"/>
    <xf numFmtId="170" fontId="120" fillId="0" borderId="0" xfId="0" applyFont="1" applyFill="1" applyBorder="1" applyProtection="1"/>
    <xf numFmtId="170" fontId="121" fillId="0" borderId="0" xfId="0" applyFont="1" applyFill="1" applyBorder="1" applyAlignment="1" applyProtection="1">
      <alignment horizontal="center" vertical="center"/>
    </xf>
    <xf numFmtId="170" fontId="122" fillId="0" borderId="0" xfId="0" applyFont="1" applyFill="1" applyBorder="1" applyAlignment="1" applyProtection="1">
      <alignment horizontal="center" vertical="center"/>
    </xf>
    <xf numFmtId="170" fontId="122" fillId="0" borderId="0" xfId="0" applyFont="1" applyFill="1" applyBorder="1" applyAlignment="1" applyProtection="1">
      <alignment horizontal="right" vertical="center" indent="1"/>
    </xf>
    <xf numFmtId="170" fontId="123" fillId="0" borderId="0" xfId="0" applyFont="1" applyFill="1" applyBorder="1" applyAlignment="1" applyProtection="1">
      <alignment horizontal="center"/>
    </xf>
    <xf numFmtId="170" fontId="51" fillId="0" borderId="70"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2" xfId="0" applyNumberFormat="1" applyFont="1" applyFill="1" applyBorder="1" applyAlignment="1" applyProtection="1">
      <alignment horizontal="center" vertical="center"/>
    </xf>
    <xf numFmtId="170" fontId="23" fillId="0" borderId="27" xfId="0" applyNumberFormat="1" applyFont="1" applyFill="1" applyBorder="1" applyAlignment="1" applyProtection="1">
      <alignment vertical="center"/>
    </xf>
    <xf numFmtId="170" fontId="124" fillId="0" borderId="0" xfId="0" applyFont="1"/>
    <xf numFmtId="3" fontId="8" fillId="0" borderId="0" xfId="0" applyNumberFormat="1" applyFont="1" applyFill="1" applyProtection="1"/>
    <xf numFmtId="170" fontId="125" fillId="0" borderId="0" xfId="0" applyFont="1"/>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5" fontId="45" fillId="12" borderId="2" xfId="0" applyNumberFormat="1" applyFont="1" applyFill="1" applyBorder="1" applyAlignment="1" applyProtection="1">
      <alignment vertical="center"/>
      <protection locked="0"/>
    </xf>
    <xf numFmtId="0" fontId="109" fillId="0" borderId="0" xfId="0" applyNumberFormat="1" applyFont="1" applyAlignment="1" applyProtection="1">
      <alignment horizontal="left" vertical="center"/>
    </xf>
    <xf numFmtId="170" fontId="128" fillId="0" borderId="0" xfId="0" applyFont="1" applyAlignment="1">
      <alignment horizontal="center"/>
    </xf>
    <xf numFmtId="170" fontId="128" fillId="0" borderId="0" xfId="0" applyFont="1"/>
    <xf numFmtId="170" fontId="27" fillId="5" borderId="0" xfId="0" applyFont="1" applyFill="1" applyBorder="1" applyAlignment="1" applyProtection="1">
      <alignment horizontal="right" vertical="top" wrapText="1"/>
      <protection locked="0"/>
    </xf>
    <xf numFmtId="170" fontId="23" fillId="5" borderId="0" xfId="0" applyFont="1" applyFill="1" applyBorder="1" applyAlignment="1" applyProtection="1">
      <alignment horizontal="right" vertical="top" wrapText="1"/>
      <protection locked="0"/>
    </xf>
    <xf numFmtId="175" fontId="45" fillId="12" borderId="2" xfId="0" applyNumberFormat="1" applyFont="1" applyFill="1" applyBorder="1" applyAlignment="1" applyProtection="1">
      <alignment horizontal="right" vertical="center"/>
      <protection locked="0"/>
    </xf>
    <xf numFmtId="3" fontId="108" fillId="22" borderId="83" xfId="0" applyNumberFormat="1" applyFont="1" applyFill="1" applyBorder="1" applyAlignment="1" applyProtection="1">
      <alignment horizontal="centerContinuous"/>
    </xf>
    <xf numFmtId="3" fontId="108" fillId="22" borderId="84" xfId="0" applyNumberFormat="1" applyFont="1" applyFill="1" applyBorder="1" applyAlignment="1" applyProtection="1">
      <alignment horizontal="centerContinuous"/>
    </xf>
    <xf numFmtId="4" fontId="107" fillId="0" borderId="104" xfId="0" applyNumberFormat="1" applyFont="1" applyBorder="1" applyProtection="1"/>
    <xf numFmtId="4" fontId="14" fillId="0" borderId="54" xfId="1" applyNumberFormat="1" applyFont="1" applyFill="1" applyBorder="1" applyAlignment="1" applyProtection="1"/>
    <xf numFmtId="4" fontId="14" fillId="0" borderId="55" xfId="1" applyNumberFormat="1" applyFont="1" applyFill="1" applyBorder="1" applyAlignment="1" applyProtection="1"/>
    <xf numFmtId="170" fontId="8" fillId="0" borderId="0" xfId="0" applyFont="1" applyFill="1"/>
    <xf numFmtId="165" fontId="25" fillId="0" borderId="48" xfId="0" applyNumberFormat="1" applyFont="1" applyFill="1" applyBorder="1" applyAlignment="1" applyProtection="1">
      <alignment horizontal="center"/>
      <protection locked="0"/>
    </xf>
    <xf numFmtId="170" fontId="14" fillId="0" borderId="0" xfId="0" applyFont="1" applyFill="1"/>
    <xf numFmtId="170" fontId="14" fillId="0" borderId="0" xfId="0" applyNumberFormat="1" applyFont="1" applyFill="1"/>
    <xf numFmtId="3" fontId="0" fillId="0" borderId="0" xfId="0" applyNumberFormat="1" applyFill="1" applyProtection="1"/>
    <xf numFmtId="170" fontId="74" fillId="0" borderId="0" xfId="0" applyFont="1" applyFill="1" applyBorder="1" applyAlignment="1" applyProtection="1">
      <alignment horizontal="center"/>
    </xf>
    <xf numFmtId="170" fontId="126" fillId="0" borderId="0" xfId="0" applyFont="1"/>
    <xf numFmtId="170" fontId="130" fillId="5" borderId="0" xfId="0" applyFont="1" applyFill="1" applyBorder="1" applyAlignment="1" applyProtection="1">
      <alignment horizontal="left"/>
      <protection locked="0"/>
    </xf>
    <xf numFmtId="170" fontId="126" fillId="0" borderId="0" xfId="0" applyFont="1" applyBorder="1" applyAlignment="1">
      <alignment horizontal="left" wrapText="1"/>
    </xf>
    <xf numFmtId="3" fontId="14" fillId="18" borderId="46" xfId="0" applyNumberFormat="1" applyFont="1" applyFill="1" applyBorder="1" applyAlignment="1" applyProtection="1">
      <protection locked="0"/>
    </xf>
    <xf numFmtId="3" fontId="21" fillId="18" borderId="46" xfId="0" applyNumberFormat="1" applyFont="1" applyFill="1" applyBorder="1" applyAlignment="1" applyProtection="1">
      <protection locked="0"/>
    </xf>
    <xf numFmtId="3" fontId="80" fillId="18" borderId="46" xfId="0" applyNumberFormat="1" applyFont="1" applyFill="1" applyBorder="1" applyAlignment="1" applyProtection="1">
      <protection locked="0"/>
    </xf>
    <xf numFmtId="3" fontId="21" fillId="9" borderId="230" xfId="0" applyNumberFormat="1" applyFont="1" applyFill="1" applyBorder="1" applyAlignment="1" applyProtection="1">
      <protection locked="0"/>
    </xf>
    <xf numFmtId="3" fontId="80" fillId="9" borderId="230" xfId="0" applyNumberFormat="1" applyFont="1" applyFill="1" applyBorder="1" applyAlignment="1" applyProtection="1">
      <protection locked="0"/>
    </xf>
    <xf numFmtId="4" fontId="107" fillId="0" borderId="105" xfId="0" applyNumberFormat="1" applyFont="1" applyBorder="1" applyProtection="1"/>
    <xf numFmtId="4" fontId="14" fillId="9" borderId="2" xfId="1" applyNumberFormat="1" applyFont="1" applyFill="1" applyBorder="1" applyAlignment="1" applyProtection="1">
      <protection locked="0"/>
    </xf>
    <xf numFmtId="3" fontId="21" fillId="0" borderId="2" xfId="0" applyNumberFormat="1" applyFont="1" applyBorder="1" applyAlignment="1" applyProtection="1">
      <alignment horizontal="center" vertical="center" wrapText="1"/>
    </xf>
    <xf numFmtId="3" fontId="80" fillId="18" borderId="2" xfId="0" applyNumberFormat="1" applyFont="1" applyFill="1" applyBorder="1" applyAlignment="1" applyProtection="1">
      <alignment horizontal="center" vertical="center" wrapText="1"/>
    </xf>
    <xf numFmtId="3" fontId="21" fillId="18" borderId="2" xfId="0" applyNumberFormat="1" applyFont="1" applyFill="1" applyBorder="1" applyAlignment="1" applyProtection="1">
      <alignment horizontal="center" vertical="center" wrapText="1"/>
    </xf>
    <xf numFmtId="168" fontId="8" fillId="23" borderId="69" xfId="0" applyNumberFormat="1" applyFont="1" applyFill="1" applyBorder="1" applyAlignment="1" applyProtection="1">
      <alignment horizontal="center"/>
    </xf>
    <xf numFmtId="168" fontId="14" fillId="23" borderId="69" xfId="0" applyNumberFormat="1" applyFont="1" applyFill="1" applyBorder="1" applyAlignment="1" applyProtection="1">
      <alignment horizontal="center"/>
    </xf>
    <xf numFmtId="4" fontId="14" fillId="0" borderId="131"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4" fontId="45" fillId="0" borderId="2" xfId="0" applyNumberFormat="1" applyFont="1" applyFill="1" applyBorder="1" applyAlignment="1" applyProtection="1">
      <alignment horizontal="center" vertical="center"/>
    </xf>
    <xf numFmtId="175" fontId="45" fillId="10" borderId="2" xfId="0" applyNumberFormat="1" applyFont="1" applyFill="1" applyBorder="1" applyAlignment="1" applyProtection="1">
      <alignment horizontal="center" vertical="center"/>
    </xf>
    <xf numFmtId="3" fontId="45" fillId="10" borderId="20" xfId="0" applyNumberFormat="1" applyFont="1" applyFill="1" applyBorder="1" applyAlignment="1" applyProtection="1">
      <alignment horizontal="center" vertical="center"/>
    </xf>
    <xf numFmtId="175" fontId="45" fillId="0" borderId="79" xfId="0" applyNumberFormat="1" applyFont="1" applyFill="1" applyBorder="1" applyAlignment="1" applyProtection="1">
      <alignment horizontal="center" vertical="center"/>
    </xf>
    <xf numFmtId="3" fontId="45" fillId="0" borderId="80" xfId="0" applyNumberFormat="1" applyFont="1" applyFill="1" applyBorder="1" applyAlignment="1" applyProtection="1">
      <alignment horizontal="center" vertical="center"/>
    </xf>
    <xf numFmtId="168" fontId="45" fillId="5" borderId="2" xfId="0" applyNumberFormat="1" applyFont="1" applyFill="1" applyBorder="1" applyAlignment="1" applyProtection="1">
      <alignment horizontal="center" vertical="center"/>
      <protection locked="0"/>
    </xf>
    <xf numFmtId="168" fontId="115" fillId="5" borderId="2" xfId="0" applyNumberFormat="1" applyFont="1" applyFill="1" applyBorder="1" applyAlignment="1" applyProtection="1">
      <alignment horizontal="center" vertical="center"/>
      <protection locked="0"/>
    </xf>
    <xf numFmtId="168" fontId="101"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2" fontId="45" fillId="5"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168" fontId="115" fillId="20" borderId="2" xfId="0" applyNumberFormat="1" applyFont="1" applyFill="1" applyBorder="1" applyAlignment="1" applyProtection="1">
      <alignment horizontal="center" vertical="center"/>
      <protection locked="0"/>
    </xf>
    <xf numFmtId="168" fontId="101"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68" fontId="2" fillId="21" borderId="2" xfId="0" applyNumberFormat="1" applyFont="1" applyFill="1" applyBorder="1" applyAlignment="1" applyProtection="1">
      <alignment horizontal="center" vertical="center"/>
      <protection locked="0"/>
    </xf>
    <xf numFmtId="168" fontId="45" fillId="21" borderId="2" xfId="0" applyNumberFormat="1" applyFont="1" applyFill="1" applyBorder="1" applyAlignment="1" applyProtection="1">
      <alignment horizontal="center" vertical="center"/>
      <protection locked="0"/>
    </xf>
    <xf numFmtId="168" fontId="45" fillId="21" borderId="2" xfId="1"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45" fillId="7" borderId="2" xfId="0" applyNumberFormat="1" applyFont="1" applyFill="1" applyBorder="1" applyAlignment="1" applyProtection="1">
      <alignment horizontal="center" vertical="center"/>
      <protection locked="0"/>
    </xf>
    <xf numFmtId="3" fontId="101"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75" fontId="45" fillId="12" borderId="2" xfId="0" applyNumberFormat="1" applyFont="1" applyFill="1" applyBorder="1" applyAlignment="1" applyProtection="1">
      <alignment horizontal="center" vertical="center"/>
      <protection locked="0"/>
    </xf>
    <xf numFmtId="168" fontId="2"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4" fontId="14" fillId="9" borderId="102" xfId="1" applyNumberFormat="1" applyFont="1" applyFill="1" applyBorder="1" applyAlignment="1" applyProtection="1">
      <protection locked="0"/>
    </xf>
    <xf numFmtId="4" fontId="14" fillId="9" borderId="103" xfId="1" applyNumberFormat="1" applyFont="1" applyFill="1" applyBorder="1" applyProtection="1">
      <protection locked="0"/>
    </xf>
    <xf numFmtId="4" fontId="14" fillId="9" borderId="102" xfId="1" applyNumberFormat="1" applyFont="1" applyFill="1" applyBorder="1" applyProtection="1">
      <protection locked="0"/>
    </xf>
    <xf numFmtId="2" fontId="0" fillId="0" borderId="0" xfId="0" applyNumberFormat="1"/>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9" fillId="0" borderId="0" xfId="0" applyFont="1" applyAlignment="1">
      <alignment horizontal="center"/>
    </xf>
    <xf numFmtId="170" fontId="100" fillId="0" borderId="0" xfId="0" applyFont="1" applyAlignment="1">
      <alignment horizontal="center"/>
    </xf>
    <xf numFmtId="170" fontId="0" fillId="0" borderId="0" xfId="0" applyBorder="1" applyAlignment="1">
      <alignment horizontal="center" wrapText="1"/>
    </xf>
    <xf numFmtId="170" fontId="0" fillId="0" borderId="110" xfId="0" applyBorder="1" applyAlignment="1">
      <alignment horizontal="center" wrapText="1"/>
    </xf>
    <xf numFmtId="170" fontId="44" fillId="0" borderId="28" xfId="0" applyFont="1" applyBorder="1" applyAlignment="1">
      <alignment horizontal="left" vertical="center" wrapText="1"/>
    </xf>
    <xf numFmtId="170" fontId="44" fillId="0" borderId="29" xfId="0" applyFont="1" applyBorder="1" applyAlignment="1">
      <alignment horizontal="left" vertical="center" wrapText="1"/>
    </xf>
    <xf numFmtId="170" fontId="44" fillId="0" borderId="30" xfId="0" applyFont="1" applyBorder="1" applyAlignment="1">
      <alignment horizontal="left" vertical="center" wrapText="1"/>
    </xf>
    <xf numFmtId="164" fontId="60" fillId="0" borderId="28" xfId="0" applyNumberFormat="1" applyFont="1" applyBorder="1" applyAlignment="1">
      <alignment horizontal="left" vertical="center" wrapText="1"/>
    </xf>
    <xf numFmtId="170" fontId="60" fillId="0" borderId="29" xfId="0" applyFont="1" applyBorder="1" applyAlignment="1">
      <alignment horizontal="left" vertical="center" wrapText="1"/>
    </xf>
    <xf numFmtId="170" fontId="60" fillId="0" borderId="30" xfId="0" applyFont="1" applyBorder="1" applyAlignment="1">
      <alignment horizontal="left" vertical="center" wrapText="1"/>
    </xf>
    <xf numFmtId="170" fontId="60" fillId="0" borderId="29" xfId="0" applyFont="1" applyBorder="1" applyAlignment="1">
      <alignment horizontal="left" vertical="center"/>
    </xf>
    <xf numFmtId="170" fontId="60" fillId="0" borderId="30" xfId="0" applyFont="1" applyBorder="1" applyAlignment="1">
      <alignment horizontal="left" vertical="center"/>
    </xf>
    <xf numFmtId="170" fontId="61" fillId="0" borderId="28" xfId="0" applyFont="1" applyBorder="1" applyAlignment="1">
      <alignment horizontal="justify" vertical="center" wrapText="1"/>
    </xf>
    <xf numFmtId="170" fontId="61" fillId="0" borderId="29" xfId="0" applyFont="1" applyBorder="1" applyAlignment="1">
      <alignment horizontal="justify" vertical="center" wrapText="1"/>
    </xf>
    <xf numFmtId="170" fontId="61" fillId="0" borderId="30" xfId="0" applyFont="1" applyBorder="1" applyAlignment="1">
      <alignment horizontal="justify" vertical="center" wrapText="1"/>
    </xf>
    <xf numFmtId="170" fontId="0" fillId="0" borderId="110" xfId="0" applyBorder="1" applyAlignment="1">
      <alignment horizontal="center"/>
    </xf>
    <xf numFmtId="170" fontId="0" fillId="0" borderId="0" xfId="0" applyBorder="1" applyAlignment="1">
      <alignment horizontal="center"/>
    </xf>
    <xf numFmtId="164" fontId="10" fillId="14" borderId="0" xfId="12" applyFont="1" applyFill="1" applyAlignment="1" applyProtection="1">
      <alignment horizontal="center" vertical="center"/>
    </xf>
    <xf numFmtId="170" fontId="58" fillId="0" borderId="0" xfId="0" applyFont="1" applyAlignment="1">
      <alignment horizontal="center"/>
    </xf>
    <xf numFmtId="170" fontId="59" fillId="9" borderId="28" xfId="0" applyFont="1" applyFill="1" applyBorder="1" applyAlignment="1">
      <alignment horizontal="center"/>
    </xf>
    <xf numFmtId="170" fontId="59" fillId="9" borderId="29" xfId="0" applyFont="1" applyFill="1" applyBorder="1" applyAlignment="1">
      <alignment horizontal="center"/>
    </xf>
    <xf numFmtId="170" fontId="59" fillId="9" borderId="30" xfId="0" applyFont="1" applyFill="1" applyBorder="1" applyAlignment="1">
      <alignment horizontal="center"/>
    </xf>
    <xf numFmtId="164" fontId="60" fillId="0" borderId="28" xfId="0" applyNumberFormat="1" applyFont="1" applyBorder="1" applyAlignment="1">
      <alignment horizontal="justify" vertical="center" wrapText="1"/>
    </xf>
    <xf numFmtId="170" fontId="60" fillId="0" borderId="29" xfId="0" applyFont="1" applyBorder="1" applyAlignment="1">
      <alignment horizontal="justify" vertical="center"/>
    </xf>
    <xf numFmtId="170" fontId="60" fillId="0" borderId="30" xfId="0" applyFont="1" applyBorder="1" applyAlignment="1">
      <alignment horizontal="justify" vertical="center"/>
    </xf>
    <xf numFmtId="9" fontId="61" fillId="0" borderId="28" xfId="19" applyFont="1" applyBorder="1" applyAlignment="1">
      <alignment horizontal="justify" vertical="center" wrapText="1"/>
    </xf>
    <xf numFmtId="9" fontId="61" fillId="0" borderId="29" xfId="19" applyFont="1" applyBorder="1" applyAlignment="1">
      <alignment horizontal="justify" vertical="center" wrapText="1"/>
    </xf>
    <xf numFmtId="9" fontId="61" fillId="0" borderId="30" xfId="19" applyFont="1" applyBorder="1" applyAlignment="1">
      <alignment horizontal="justify" vertical="center" wrapText="1"/>
    </xf>
    <xf numFmtId="170" fontId="59" fillId="6" borderId="28" xfId="0" applyFont="1" applyFill="1" applyBorder="1" applyAlignment="1">
      <alignment horizontal="center"/>
    </xf>
    <xf numFmtId="170" fontId="59" fillId="6" borderId="29" xfId="0" applyFont="1" applyFill="1" applyBorder="1" applyAlignment="1">
      <alignment horizontal="center"/>
    </xf>
    <xf numFmtId="170" fontId="59" fillId="6" borderId="30" xfId="0" applyFont="1" applyFill="1" applyBorder="1" applyAlignment="1">
      <alignment horizontal="center"/>
    </xf>
    <xf numFmtId="170" fontId="60" fillId="0" borderId="29" xfId="0" applyFont="1" applyBorder="1" applyAlignment="1">
      <alignment horizontal="justify" vertical="center" wrapText="1"/>
    </xf>
    <xf numFmtId="170" fontId="60" fillId="0" borderId="30" xfId="0" applyFont="1" applyBorder="1" applyAlignment="1">
      <alignment horizontal="justify" vertical="center" wrapText="1"/>
    </xf>
    <xf numFmtId="170" fontId="44" fillId="0" borderId="111" xfId="0" applyFont="1" applyBorder="1" applyAlignment="1">
      <alignment horizontal="justify" wrapText="1"/>
    </xf>
    <xf numFmtId="170" fontId="44" fillId="0" borderId="110" xfId="0" applyFont="1" applyBorder="1" applyAlignment="1">
      <alignment horizontal="justify" wrapText="1"/>
    </xf>
    <xf numFmtId="170" fontId="44" fillId="0" borderId="112" xfId="0" applyFont="1" applyBorder="1" applyAlignment="1">
      <alignment horizontal="justify" wrapText="1"/>
    </xf>
    <xf numFmtId="170" fontId="44" fillId="0" borderId="28" xfId="0" applyFont="1" applyBorder="1" applyAlignment="1">
      <alignment horizontal="justify" vertical="center" wrapText="1"/>
    </xf>
    <xf numFmtId="170" fontId="92" fillId="0" borderId="113" xfId="0" applyFont="1" applyBorder="1" applyAlignment="1">
      <alignment horizontal="justify" vertical="center" wrapText="1"/>
    </xf>
    <xf numFmtId="170" fontId="92" fillId="0" borderId="74" xfId="0" applyFont="1" applyBorder="1" applyAlignment="1">
      <alignment horizontal="justify" vertical="center" wrapText="1"/>
    </xf>
    <xf numFmtId="170" fontId="92" fillId="0" borderId="76" xfId="0" applyFont="1" applyBorder="1" applyAlignment="1">
      <alignment horizontal="justify" vertical="center" wrapText="1"/>
    </xf>
    <xf numFmtId="170" fontId="92" fillId="0" borderId="28" xfId="0" applyFont="1" applyBorder="1" applyAlignment="1">
      <alignment horizontal="left" vertical="center" wrapText="1"/>
    </xf>
    <xf numFmtId="170" fontId="89" fillId="0" borderId="29" xfId="0" applyFont="1" applyBorder="1" applyAlignment="1">
      <alignment horizontal="left" vertical="center" wrapText="1"/>
    </xf>
    <xf numFmtId="170" fontId="89" fillId="0" borderId="30" xfId="0" applyFont="1" applyBorder="1" applyAlignment="1">
      <alignment horizontal="left" vertical="center" wrapText="1"/>
    </xf>
    <xf numFmtId="170" fontId="92" fillId="0" borderId="28" xfId="0" applyFont="1" applyBorder="1" applyAlignment="1">
      <alignment horizontal="justify" vertical="center" wrapText="1"/>
    </xf>
    <xf numFmtId="170" fontId="92" fillId="0" borderId="29" xfId="0" applyFont="1" applyBorder="1" applyAlignment="1">
      <alignment horizontal="justify" vertical="center" wrapText="1"/>
    </xf>
    <xf numFmtId="170" fontId="92" fillId="0" borderId="30" xfId="0" applyFont="1" applyBorder="1" applyAlignment="1">
      <alignment horizontal="justify" vertical="center" wrapText="1"/>
    </xf>
    <xf numFmtId="164" fontId="60" fillId="0" borderId="111" xfId="0" applyNumberFormat="1" applyFont="1" applyBorder="1" applyAlignment="1">
      <alignment horizontal="left" vertical="center" wrapText="1"/>
    </xf>
    <xf numFmtId="170" fontId="60" fillId="0" borderId="110" xfId="0" applyFont="1" applyBorder="1" applyAlignment="1">
      <alignment horizontal="left" vertical="center" wrapText="1"/>
    </xf>
    <xf numFmtId="170" fontId="60" fillId="0" borderId="112" xfId="0" applyFont="1" applyBorder="1" applyAlignment="1">
      <alignment horizontal="left" vertical="center" wrapText="1"/>
    </xf>
    <xf numFmtId="170" fontId="60" fillId="0" borderId="113" xfId="0" applyFont="1" applyBorder="1" applyAlignment="1">
      <alignment horizontal="left" vertical="center" wrapText="1"/>
    </xf>
    <xf numFmtId="170" fontId="60" fillId="0" borderId="74" xfId="0" applyFont="1" applyBorder="1" applyAlignment="1">
      <alignment horizontal="left" vertical="center" wrapText="1"/>
    </xf>
    <xf numFmtId="170" fontId="60" fillId="0" borderId="76" xfId="0" applyFont="1" applyBorder="1" applyAlignment="1">
      <alignment horizontal="left" vertical="center" wrapText="1"/>
    </xf>
    <xf numFmtId="170" fontId="61" fillId="0" borderId="113" xfId="0" applyFont="1" applyBorder="1" applyAlignment="1">
      <alignment horizontal="justify" vertical="center" wrapText="1"/>
    </xf>
    <xf numFmtId="170" fontId="61" fillId="0" borderId="74" xfId="0" applyFont="1" applyBorder="1" applyAlignment="1">
      <alignment horizontal="justify" vertical="center" wrapText="1"/>
    </xf>
    <xf numFmtId="170" fontId="61" fillId="0" borderId="76" xfId="0" applyFont="1" applyBorder="1" applyAlignment="1">
      <alignment horizontal="justify" vertical="center" wrapText="1"/>
    </xf>
    <xf numFmtId="170" fontId="44" fillId="0" borderId="111" xfId="0" applyFont="1" applyBorder="1" applyAlignment="1">
      <alignment horizontal="left" vertical="center" wrapText="1"/>
    </xf>
    <xf numFmtId="170" fontId="44" fillId="0" borderId="110" xfId="0" applyFont="1" applyBorder="1" applyAlignment="1">
      <alignment horizontal="left" vertical="center" wrapText="1"/>
    </xf>
    <xf numFmtId="170" fontId="44" fillId="0" borderId="112" xfId="0" applyFont="1" applyBorder="1" applyAlignment="1">
      <alignment horizontal="left" vertical="center" wrapText="1"/>
    </xf>
    <xf numFmtId="170" fontId="44" fillId="0" borderId="113" xfId="0" applyFont="1" applyBorder="1" applyAlignment="1">
      <alignment horizontal="left" vertical="center" wrapText="1"/>
    </xf>
    <xf numFmtId="170" fontId="44" fillId="0" borderId="74" xfId="0" applyFont="1" applyBorder="1" applyAlignment="1">
      <alignment horizontal="left" vertical="center" wrapText="1"/>
    </xf>
    <xf numFmtId="170" fontId="44" fillId="0" borderId="76" xfId="0" applyFont="1" applyBorder="1" applyAlignment="1">
      <alignment horizontal="left" vertical="center" wrapText="1"/>
    </xf>
    <xf numFmtId="170" fontId="44" fillId="0" borderId="29" xfId="0" applyFont="1" applyBorder="1" applyAlignment="1">
      <alignment horizontal="justify" vertical="center" wrapText="1"/>
    </xf>
    <xf numFmtId="170" fontId="44" fillId="0" borderId="30" xfId="0" applyFont="1" applyBorder="1" applyAlignment="1">
      <alignment horizontal="justify" vertical="center" wrapText="1"/>
    </xf>
    <xf numFmtId="170" fontId="0" fillId="0" borderId="28" xfId="0" applyBorder="1" applyAlignment="1">
      <alignment horizontal="center" vertical="center" wrapText="1"/>
    </xf>
    <xf numFmtId="170" fontId="0" fillId="0" borderId="29" xfId="0" applyBorder="1" applyAlignment="1">
      <alignment horizontal="center" vertical="center" wrapText="1"/>
    </xf>
    <xf numFmtId="170" fontId="0" fillId="0" borderId="30" xfId="0" applyBorder="1" applyAlignment="1">
      <alignment horizontal="center" vertical="center" wrapText="1"/>
    </xf>
    <xf numFmtId="170" fontId="66" fillId="5" borderId="28" xfId="0" applyFont="1" applyFill="1" applyBorder="1" applyAlignment="1">
      <alignment horizontal="center" vertical="center" wrapText="1"/>
    </xf>
    <xf numFmtId="170" fontId="66" fillId="5" borderId="29" xfId="0" applyFont="1" applyFill="1" applyBorder="1" applyAlignment="1">
      <alignment horizontal="center" vertical="center"/>
    </xf>
    <xf numFmtId="170" fontId="66" fillId="5" borderId="30" xfId="0" applyFont="1" applyFill="1" applyBorder="1" applyAlignment="1">
      <alignment horizontal="center" vertical="center"/>
    </xf>
    <xf numFmtId="170" fontId="65" fillId="5" borderId="28" xfId="0" applyFont="1" applyFill="1" applyBorder="1" applyAlignment="1">
      <alignment horizontal="center" vertical="center"/>
    </xf>
    <xf numFmtId="170" fontId="65" fillId="5" borderId="29" xfId="0" applyFont="1" applyFill="1" applyBorder="1" applyAlignment="1">
      <alignment horizontal="center" vertical="center"/>
    </xf>
    <xf numFmtId="170" fontId="65" fillId="5" borderId="30" xfId="0" applyFont="1" applyFill="1" applyBorder="1" applyAlignment="1">
      <alignment horizontal="center" vertical="center"/>
    </xf>
    <xf numFmtId="170" fontId="104" fillId="0" borderId="28" xfId="0" applyFont="1" applyBorder="1" applyAlignment="1" applyProtection="1">
      <alignment horizontal="justify" vertical="center" wrapText="1"/>
      <protection locked="0"/>
    </xf>
    <xf numFmtId="170" fontId="104" fillId="0" borderId="29" xfId="0" applyFont="1" applyBorder="1" applyAlignment="1" applyProtection="1">
      <alignment horizontal="justify" vertical="center" wrapText="1"/>
      <protection locked="0"/>
    </xf>
    <xf numFmtId="170" fontId="104" fillId="0" borderId="30" xfId="0" applyFont="1" applyBorder="1" applyAlignment="1" applyProtection="1">
      <alignment horizontal="justify" vertical="center" wrapText="1"/>
      <protection locked="0"/>
    </xf>
    <xf numFmtId="170" fontId="92" fillId="18" borderId="28" xfId="0" applyFont="1" applyFill="1" applyBorder="1" applyAlignment="1" applyProtection="1">
      <alignment horizontal="justify" vertical="center" wrapText="1"/>
      <protection locked="0"/>
    </xf>
    <xf numFmtId="170" fontId="92" fillId="18" borderId="29" xfId="0" applyFont="1" applyFill="1" applyBorder="1" applyAlignment="1" applyProtection="1">
      <alignment horizontal="justify" vertical="center" wrapText="1"/>
      <protection locked="0"/>
    </xf>
    <xf numFmtId="170" fontId="92" fillId="18" borderId="30" xfId="0" applyFont="1" applyFill="1" applyBorder="1" applyAlignment="1" applyProtection="1">
      <alignment horizontal="justify" vertical="center" wrapText="1"/>
      <protection locked="0"/>
    </xf>
    <xf numFmtId="170" fontId="17" fillId="0" borderId="28" xfId="0" applyFont="1" applyBorder="1" applyAlignment="1">
      <alignment horizontal="center" vertical="center" wrapText="1"/>
    </xf>
    <xf numFmtId="170" fontId="17" fillId="0" borderId="29" xfId="0" applyFont="1" applyBorder="1" applyAlignment="1">
      <alignment horizontal="center" vertical="center" wrapText="1"/>
    </xf>
    <xf numFmtId="170" fontId="17" fillId="0" borderId="30" xfId="0" applyFont="1" applyBorder="1" applyAlignment="1">
      <alignment horizontal="center" vertical="center" wrapText="1"/>
    </xf>
    <xf numFmtId="170" fontId="65" fillId="5" borderId="28" xfId="0" applyFont="1" applyFill="1" applyBorder="1" applyAlignment="1">
      <alignment horizontal="center" wrapText="1"/>
    </xf>
    <xf numFmtId="170" fontId="65" fillId="5" borderId="29" xfId="0" applyFont="1" applyFill="1" applyBorder="1" applyAlignment="1">
      <alignment horizontal="center" wrapText="1"/>
    </xf>
    <xf numFmtId="170" fontId="65" fillId="5" borderId="30" xfId="0" applyFont="1" applyFill="1" applyBorder="1" applyAlignment="1">
      <alignment horizontal="center" wrapText="1"/>
    </xf>
    <xf numFmtId="170" fontId="65" fillId="5" borderId="28" xfId="0" applyFont="1" applyFill="1" applyBorder="1" applyAlignment="1">
      <alignment horizontal="center"/>
    </xf>
    <xf numFmtId="170" fontId="65" fillId="5" borderId="29" xfId="0" applyFont="1" applyFill="1" applyBorder="1" applyAlignment="1">
      <alignment horizontal="center"/>
    </xf>
    <xf numFmtId="170" fontId="65" fillId="5" borderId="30" xfId="0" applyFont="1" applyFill="1" applyBorder="1" applyAlignment="1">
      <alignment horizontal="center"/>
    </xf>
    <xf numFmtId="170" fontId="104" fillId="5" borderId="28" xfId="0" applyFont="1" applyFill="1" applyBorder="1" applyAlignment="1">
      <alignment horizontal="justify" vertical="center" wrapText="1"/>
    </xf>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0" fontId="92" fillId="0" borderId="28" xfId="0" applyFont="1" applyFill="1" applyBorder="1" applyAlignment="1" applyProtection="1">
      <alignment horizontal="justify" vertical="center" wrapText="1"/>
      <protection locked="0"/>
    </xf>
    <xf numFmtId="170" fontId="104" fillId="0" borderId="29" xfId="0" applyFont="1" applyFill="1" applyBorder="1" applyAlignment="1" applyProtection="1">
      <alignment horizontal="justify" vertical="center" wrapText="1"/>
      <protection locked="0"/>
    </xf>
    <xf numFmtId="170" fontId="104" fillId="0" borderId="30" xfId="0" applyFont="1" applyFill="1" applyBorder="1" applyAlignment="1" applyProtection="1">
      <alignment horizontal="justify" vertical="center" wrapText="1"/>
      <protection locked="0"/>
    </xf>
    <xf numFmtId="170" fontId="104" fillId="18" borderId="29" xfId="0" applyFont="1" applyFill="1" applyBorder="1" applyAlignment="1" applyProtection="1">
      <alignment horizontal="justify" vertical="center" wrapText="1"/>
      <protection locked="0"/>
    </xf>
    <xf numFmtId="170" fontId="104" fillId="18" borderId="30" xfId="0" applyFont="1" applyFill="1" applyBorder="1" applyAlignment="1" applyProtection="1">
      <alignment horizontal="justify" vertical="center" wrapText="1"/>
      <protection locked="0"/>
    </xf>
    <xf numFmtId="170" fontId="127" fillId="18" borderId="28" xfId="0" applyFont="1" applyFill="1" applyBorder="1" applyAlignment="1" applyProtection="1">
      <alignment horizontal="justify" vertical="center" wrapText="1"/>
      <protection locked="0"/>
    </xf>
    <xf numFmtId="170" fontId="127" fillId="18" borderId="29" xfId="0" applyFont="1" applyFill="1" applyBorder="1" applyAlignment="1" applyProtection="1">
      <alignment horizontal="justify" vertical="center" wrapText="1"/>
      <protection locked="0"/>
    </xf>
    <xf numFmtId="170" fontId="127" fillId="18" borderId="30" xfId="0" applyFont="1" applyFill="1" applyBorder="1" applyAlignment="1" applyProtection="1">
      <alignment horizontal="justify" vertical="center" wrapText="1"/>
      <protection locked="0"/>
    </xf>
    <xf numFmtId="170" fontId="92" fillId="18" borderId="28" xfId="0" applyFont="1" applyFill="1" applyBorder="1" applyAlignment="1" applyProtection="1">
      <alignment horizontal="justify" vertical="top" wrapText="1"/>
      <protection locked="0"/>
    </xf>
    <xf numFmtId="170" fontId="92" fillId="18" borderId="29" xfId="0" applyFont="1" applyFill="1" applyBorder="1" applyAlignment="1" applyProtection="1">
      <alignment horizontal="justify" vertical="top" wrapText="1"/>
      <protection locked="0"/>
    </xf>
    <xf numFmtId="170" fontId="92" fillId="18" borderId="30" xfId="0" applyFont="1" applyFill="1" applyBorder="1" applyAlignment="1" applyProtection="1">
      <alignment horizontal="justify" vertical="top" wrapText="1"/>
      <protection locked="0"/>
    </xf>
    <xf numFmtId="170" fontId="45" fillId="5" borderId="30" xfId="0" applyNumberFormat="1" applyFont="1" applyFill="1" applyBorder="1" applyAlignment="1" applyProtection="1">
      <alignment horizontal="center" vertical="center" wrapText="1"/>
      <protection locked="0"/>
    </xf>
    <xf numFmtId="170" fontId="45" fillId="0" borderId="117" xfId="0" applyFont="1" applyFill="1" applyBorder="1" applyAlignment="1" applyProtection="1">
      <alignment horizontal="center" vertical="center" wrapText="1"/>
    </xf>
    <xf numFmtId="170" fontId="45" fillId="0" borderId="228" xfId="0"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xf>
    <xf numFmtId="0" fontId="45" fillId="0" borderId="229" xfId="0" applyNumberFormat="1" applyFont="1" applyFill="1" applyBorder="1" applyAlignment="1" applyProtection="1">
      <alignment horizontal="center" vertical="center" wrapText="1"/>
    </xf>
    <xf numFmtId="49" fontId="45" fillId="7" borderId="117" xfId="0" applyNumberFormat="1" applyFont="1" applyFill="1" applyBorder="1" applyAlignment="1" applyProtection="1">
      <alignment horizontal="center" vertical="center" wrapText="1"/>
      <protection locked="0"/>
    </xf>
    <xf numFmtId="49" fontId="45" fillId="7" borderId="118" xfId="0" applyNumberFormat="1" applyFont="1" applyFill="1" applyBorder="1" applyAlignment="1" applyProtection="1">
      <alignment horizontal="center" vertical="center" wrapText="1"/>
      <protection locked="0"/>
    </xf>
    <xf numFmtId="0" fontId="45" fillId="7" borderId="88" xfId="0" applyNumberFormat="1" applyFont="1" applyFill="1" applyBorder="1" applyAlignment="1" applyProtection="1">
      <alignment horizontal="center" vertical="center" wrapText="1"/>
      <protection locked="0"/>
    </xf>
    <xf numFmtId="0" fontId="45" fillId="7" borderId="75" xfId="0" applyNumberFormat="1" applyFont="1" applyFill="1" applyBorder="1" applyAlignment="1" applyProtection="1">
      <alignment horizontal="center" vertical="center" wrapText="1"/>
      <protection locked="0"/>
    </xf>
    <xf numFmtId="170" fontId="45" fillId="5" borderId="122" xfId="0" applyNumberFormat="1" applyFont="1" applyFill="1" applyBorder="1" applyAlignment="1" applyProtection="1">
      <alignment horizontal="center" vertical="center" wrapText="1"/>
      <protection locked="0"/>
    </xf>
    <xf numFmtId="170" fontId="45" fillId="10" borderId="30" xfId="0" applyFont="1" applyFill="1" applyBorder="1" applyAlignment="1" applyProtection="1">
      <alignment horizontal="center" vertical="center" wrapText="1"/>
    </xf>
    <xf numFmtId="170" fontId="45" fillId="0" borderId="30" xfId="0" applyFont="1" applyFill="1" applyBorder="1" applyAlignment="1" applyProtection="1">
      <alignment horizontal="center" vertical="center" wrapText="1"/>
    </xf>
    <xf numFmtId="49" fontId="45" fillId="7" borderId="225" xfId="0" applyNumberFormat="1" applyFont="1" applyFill="1" applyBorder="1" applyAlignment="1" applyProtection="1">
      <alignment horizontal="center" vertical="center" wrapText="1"/>
      <protection locked="0"/>
    </xf>
    <xf numFmtId="49" fontId="45" fillId="7" borderId="227" xfId="0" applyNumberFormat="1" applyFont="1" applyFill="1" applyBorder="1" applyAlignment="1" applyProtection="1">
      <alignment horizontal="center" vertical="center" wrapText="1"/>
      <protection locked="0"/>
    </xf>
    <xf numFmtId="0" fontId="45" fillId="0" borderId="122" xfId="0" applyNumberFormat="1" applyFont="1" applyFill="1" applyBorder="1" applyAlignment="1" applyProtection="1">
      <alignment horizontal="center" vertical="center" wrapText="1"/>
    </xf>
    <xf numFmtId="170" fontId="45" fillId="7" borderId="224" xfId="0" applyNumberFormat="1" applyFont="1" applyFill="1" applyBorder="1" applyAlignment="1" applyProtection="1">
      <alignment horizontal="center" vertical="center" wrapText="1"/>
      <protection locked="0"/>
    </xf>
    <xf numFmtId="170" fontId="45" fillId="7" borderId="226" xfId="0" applyNumberFormat="1" applyFont="1" applyFill="1" applyBorder="1" applyAlignment="1" applyProtection="1">
      <alignment horizontal="center" vertical="center" wrapText="1"/>
      <protection locked="0"/>
    </xf>
    <xf numFmtId="49" fontId="45" fillId="5" borderId="135" xfId="0" applyNumberFormat="1" applyFont="1" applyFill="1" applyBorder="1" applyAlignment="1" applyProtection="1">
      <alignment horizontal="justify" vertical="center" wrapText="1"/>
      <protection locked="0"/>
    </xf>
    <xf numFmtId="170" fontId="107" fillId="0" borderId="110" xfId="0" applyFont="1" applyBorder="1" applyAlignment="1">
      <alignment horizontal="justify" vertical="center" wrapText="1"/>
    </xf>
    <xf numFmtId="170" fontId="107" fillId="0" borderId="136" xfId="0" applyFont="1" applyBorder="1" applyAlignment="1">
      <alignment horizontal="justify" vertical="center" wrapText="1"/>
    </xf>
    <xf numFmtId="170" fontId="107" fillId="0" borderId="73" xfId="0" applyFont="1" applyBorder="1" applyAlignment="1">
      <alignment horizontal="justify" vertical="center" wrapText="1"/>
    </xf>
    <xf numFmtId="170" fontId="107" fillId="0" borderId="74" xfId="0" applyFont="1" applyBorder="1" applyAlignment="1">
      <alignment horizontal="justify" vertical="center" wrapText="1"/>
    </xf>
    <xf numFmtId="170" fontId="107" fillId="0" borderId="78" xfId="0" applyFont="1" applyBorder="1" applyAlignment="1">
      <alignment horizontal="justify" vertical="center" wrapText="1"/>
    </xf>
    <xf numFmtId="10" fontId="26" fillId="0" borderId="114" xfId="19" applyNumberFormat="1" applyFont="1" applyFill="1" applyBorder="1" applyAlignment="1" applyProtection="1">
      <alignment horizontal="center" vertical="center"/>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0" fontId="45" fillId="5" borderId="88" xfId="0" applyNumberFormat="1" applyFont="1" applyFill="1" applyBorder="1" applyAlignment="1" applyProtection="1">
      <alignment horizontal="center" vertical="center" wrapText="1"/>
      <protection locked="0"/>
    </xf>
    <xf numFmtId="0" fontId="45" fillId="5" borderId="75" xfId="0" applyNumberFormat="1" applyFont="1" applyFill="1" applyBorder="1" applyAlignment="1" applyProtection="1">
      <alignment horizontal="center" vertical="center" wrapText="1"/>
      <protection locked="0"/>
    </xf>
    <xf numFmtId="49" fontId="45" fillId="5" borderId="117" xfId="0" applyNumberFormat="1" applyFont="1" applyFill="1" applyBorder="1" applyAlignment="1" applyProtection="1">
      <alignment horizontal="center" vertical="center" wrapText="1"/>
      <protection locked="0"/>
    </xf>
    <xf numFmtId="49" fontId="45" fillId="5" borderId="118" xfId="0" applyNumberFormat="1" applyFont="1" applyFill="1" applyBorder="1" applyAlignment="1" applyProtection="1">
      <alignment horizontal="center" vertical="center" wrapText="1"/>
      <protection locked="0"/>
    </xf>
    <xf numFmtId="49" fontId="45" fillId="20" borderId="117" xfId="0" applyNumberFormat="1" applyFont="1" applyFill="1" applyBorder="1" applyAlignment="1" applyProtection="1">
      <alignment horizontal="center" vertical="center" wrapText="1"/>
      <protection locked="0"/>
    </xf>
    <xf numFmtId="49" fontId="45" fillId="20" borderId="118" xfId="0" applyNumberFormat="1" applyFont="1" applyFill="1" applyBorder="1" applyAlignment="1" applyProtection="1">
      <alignment horizontal="center" vertical="center" wrapText="1"/>
      <protection locked="0"/>
    </xf>
    <xf numFmtId="0" fontId="45" fillId="20" borderId="88" xfId="0" applyNumberFormat="1" applyFont="1" applyFill="1" applyBorder="1" applyAlignment="1" applyProtection="1">
      <alignment horizontal="center" vertical="center" wrapText="1"/>
      <protection locked="0"/>
    </xf>
    <xf numFmtId="0" fontId="101" fillId="20" borderId="75" xfId="0" applyNumberFormat="1" applyFont="1" applyFill="1" applyBorder="1" applyAlignment="1" applyProtection="1">
      <alignment horizontal="center" vertical="center" wrapText="1"/>
      <protection locked="0"/>
    </xf>
    <xf numFmtId="49" fontId="45" fillId="20" borderId="135" xfId="0" applyNumberFormat="1" applyFont="1" applyFill="1" applyBorder="1" applyAlignment="1" applyProtection="1">
      <alignment horizontal="justify" vertical="center" wrapText="1"/>
      <protection locked="0"/>
    </xf>
    <xf numFmtId="49" fontId="7" fillId="0" borderId="16" xfId="0" applyNumberFormat="1" applyFont="1" applyBorder="1" applyAlignment="1" applyProtection="1">
      <alignment horizontal="center"/>
    </xf>
    <xf numFmtId="49" fontId="7" fillId="0" borderId="32" xfId="0" applyNumberFormat="1" applyFont="1" applyBorder="1" applyAlignment="1" applyProtection="1">
      <alignment horizontal="center"/>
    </xf>
    <xf numFmtId="170" fontId="0" fillId="0" borderId="130" xfId="0" applyBorder="1" applyAlignment="1" applyProtection="1">
      <alignment horizontal="center"/>
    </xf>
    <xf numFmtId="170" fontId="0" fillId="0" borderId="13" xfId="0" applyBorder="1" applyAlignment="1" applyProtection="1">
      <alignment horizontal="center"/>
    </xf>
    <xf numFmtId="170" fontId="85" fillId="0" borderId="0" xfId="0" applyFont="1" applyBorder="1" applyAlignment="1" applyProtection="1">
      <alignment horizontal="right"/>
    </xf>
    <xf numFmtId="170" fontId="85" fillId="0" borderId="129" xfId="0" applyFont="1" applyBorder="1" applyAlignment="1" applyProtection="1">
      <alignment horizontal="right"/>
    </xf>
    <xf numFmtId="49" fontId="0" fillId="0" borderId="2" xfId="0" applyNumberFormat="1" applyBorder="1" applyAlignment="1" applyProtection="1">
      <alignment horizontal="center"/>
      <protection locked="0"/>
    </xf>
    <xf numFmtId="164" fontId="42" fillId="14" borderId="0" xfId="4" applyFont="1" applyFill="1" applyAlignment="1" applyProtection="1">
      <alignment horizontal="center" vertical="center"/>
    </xf>
    <xf numFmtId="170" fontId="85" fillId="0" borderId="87" xfId="0" applyFont="1" applyBorder="1" applyAlignment="1" applyProtection="1">
      <alignment horizontal="right"/>
    </xf>
    <xf numFmtId="49" fontId="45" fillId="0" borderId="135" xfId="0" applyNumberFormat="1" applyFont="1" applyFill="1" applyBorder="1" applyAlignment="1" applyProtection="1">
      <alignment horizontal="justify" vertical="center" wrapText="1"/>
      <protection locked="0"/>
    </xf>
    <xf numFmtId="49" fontId="45" fillId="0" borderId="110" xfId="0" applyNumberFormat="1" applyFont="1" applyFill="1" applyBorder="1" applyAlignment="1" applyProtection="1">
      <alignment horizontal="justify" vertical="center" wrapText="1"/>
      <protection locked="0"/>
    </xf>
    <xf numFmtId="49" fontId="45" fillId="0" borderId="136" xfId="0" applyNumberFormat="1" applyFont="1" applyFill="1" applyBorder="1" applyAlignment="1" applyProtection="1">
      <alignment horizontal="justify" vertical="center" wrapText="1"/>
      <protection locked="0"/>
    </xf>
    <xf numFmtId="49" fontId="45" fillId="0" borderId="73" xfId="0" applyNumberFormat="1" applyFont="1" applyFill="1" applyBorder="1" applyAlignment="1" applyProtection="1">
      <alignment horizontal="justify" vertical="center" wrapText="1"/>
      <protection locked="0"/>
    </xf>
    <xf numFmtId="49" fontId="45" fillId="0" borderId="74" xfId="0" applyNumberFormat="1" applyFont="1" applyFill="1" applyBorder="1" applyAlignment="1" applyProtection="1">
      <alignment horizontal="justify" vertical="center" wrapText="1"/>
      <protection locked="0"/>
    </xf>
    <xf numFmtId="49" fontId="45" fillId="0" borderId="78" xfId="0" applyNumberFormat="1" applyFont="1" applyFill="1" applyBorder="1" applyAlignment="1" applyProtection="1">
      <alignment horizontal="justify" vertical="center" wrapText="1"/>
      <protection locked="0"/>
    </xf>
    <xf numFmtId="0" fontId="45" fillId="10" borderId="122" xfId="0" applyNumberFormat="1" applyFont="1" applyFill="1" applyBorder="1" applyAlignment="1" applyProtection="1">
      <alignment horizontal="center" vertical="center" wrapText="1"/>
    </xf>
    <xf numFmtId="170" fontId="45" fillId="10" borderId="135" xfId="0" applyFont="1" applyFill="1" applyBorder="1" applyAlignment="1" applyProtection="1">
      <alignment horizontal="justify" vertical="center" wrapText="1"/>
    </xf>
    <xf numFmtId="170" fontId="45" fillId="10" borderId="110" xfId="0" applyFont="1" applyFill="1" applyBorder="1" applyAlignment="1" applyProtection="1">
      <alignment horizontal="justify" vertical="center" wrapText="1"/>
    </xf>
    <xf numFmtId="170" fontId="45" fillId="10" borderId="136"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4" xfId="0" applyFont="1" applyFill="1" applyBorder="1" applyAlignment="1" applyProtection="1">
      <alignment horizontal="justify" vertical="center" wrapText="1"/>
    </xf>
    <xf numFmtId="170" fontId="45" fillId="10" borderId="78" xfId="0" applyFont="1" applyFill="1" applyBorder="1" applyAlignment="1" applyProtection="1">
      <alignment horizontal="justify" vertical="center" wrapText="1"/>
    </xf>
    <xf numFmtId="49" fontId="45" fillId="20" borderId="110" xfId="0" applyNumberFormat="1" applyFont="1" applyFill="1" applyBorder="1" applyAlignment="1" applyProtection="1">
      <alignment horizontal="justify" vertical="center" wrapText="1"/>
      <protection locked="0"/>
    </xf>
    <xf numFmtId="49" fontId="45" fillId="20" borderId="136" xfId="0" applyNumberFormat="1" applyFont="1" applyFill="1" applyBorder="1" applyAlignment="1" applyProtection="1">
      <alignment horizontal="justify" vertical="center" wrapText="1"/>
      <protection locked="0"/>
    </xf>
    <xf numFmtId="49" fontId="45" fillId="20" borderId="73" xfId="0" applyNumberFormat="1" applyFont="1" applyFill="1" applyBorder="1" applyAlignment="1" applyProtection="1">
      <alignment horizontal="justify" vertical="center" wrapText="1"/>
      <protection locked="0"/>
    </xf>
    <xf numFmtId="49" fontId="45" fillId="20" borderId="74" xfId="0" applyNumberFormat="1" applyFont="1" applyFill="1" applyBorder="1" applyAlignment="1" applyProtection="1">
      <alignment horizontal="justify" vertical="center" wrapText="1"/>
      <protection locked="0"/>
    </xf>
    <xf numFmtId="49" fontId="45" fillId="20" borderId="78" xfId="0" applyNumberFormat="1" applyFont="1" applyFill="1" applyBorder="1" applyAlignment="1" applyProtection="1">
      <alignment horizontal="justify" vertical="center" wrapText="1"/>
      <protection locked="0"/>
    </xf>
    <xf numFmtId="170" fontId="107" fillId="0" borderId="110" xfId="0" applyFont="1" applyFill="1" applyBorder="1" applyAlignment="1">
      <alignment horizontal="justify" vertical="center" wrapText="1"/>
    </xf>
    <xf numFmtId="170" fontId="107" fillId="0" borderId="136" xfId="0" applyFont="1" applyFill="1" applyBorder="1" applyAlignment="1">
      <alignment horizontal="justify" vertical="center" wrapText="1"/>
    </xf>
    <xf numFmtId="170" fontId="107" fillId="0" borderId="73" xfId="0" applyFont="1" applyFill="1" applyBorder="1" applyAlignment="1">
      <alignment horizontal="justify" vertical="center" wrapText="1"/>
    </xf>
    <xf numFmtId="170" fontId="107" fillId="0" borderId="74" xfId="0" applyFont="1" applyFill="1" applyBorder="1" applyAlignment="1">
      <alignment horizontal="justify" vertical="center" wrapText="1"/>
    </xf>
    <xf numFmtId="170" fontId="107" fillId="0" borderId="78" xfId="0" applyFont="1" applyFill="1" applyBorder="1" applyAlignment="1">
      <alignment horizontal="justify" vertical="center" wrapText="1"/>
    </xf>
    <xf numFmtId="170" fontId="56" fillId="0" borderId="131" xfId="0" applyFont="1" applyBorder="1" applyAlignment="1" applyProtection="1">
      <alignment horizontal="right"/>
    </xf>
    <xf numFmtId="170" fontId="93" fillId="0" borderId="131" xfId="0" applyFont="1" applyBorder="1" applyAlignment="1"/>
    <xf numFmtId="170" fontId="85" fillId="0" borderId="0" xfId="0" applyFont="1" applyAlignment="1" applyProtection="1">
      <alignment horizontal="right"/>
    </xf>
    <xf numFmtId="164" fontId="7" fillId="0" borderId="132" xfId="0" applyNumberFormat="1" applyFont="1" applyBorder="1" applyAlignment="1" applyProtection="1">
      <alignment horizontal="center"/>
    </xf>
    <xf numFmtId="170" fontId="7" fillId="0" borderId="133" xfId="0" applyFont="1" applyBorder="1" applyAlignment="1" applyProtection="1">
      <alignment horizontal="center"/>
    </xf>
    <xf numFmtId="170" fontId="7" fillId="0" borderId="134" xfId="0" applyFont="1" applyBorder="1" applyAlignment="1" applyProtection="1">
      <alignment horizontal="center"/>
    </xf>
    <xf numFmtId="170" fontId="19" fillId="0" borderId="137" xfId="0" applyFont="1" applyBorder="1" applyAlignment="1" applyProtection="1">
      <alignment horizontal="center" wrapText="1"/>
    </xf>
    <xf numFmtId="170" fontId="19" fillId="0" borderId="138" xfId="0" applyFont="1" applyBorder="1" applyAlignment="1" applyProtection="1">
      <alignment horizontal="center" wrapText="1"/>
    </xf>
    <xf numFmtId="170" fontId="19" fillId="0" borderId="139" xfId="0" applyFont="1" applyBorder="1" applyAlignment="1" applyProtection="1">
      <alignment horizontal="center" wrapText="1"/>
    </xf>
    <xf numFmtId="170" fontId="0" fillId="5" borderId="28" xfId="0" applyFill="1" applyBorder="1" applyAlignment="1" applyProtection="1">
      <alignment horizontal="center"/>
    </xf>
    <xf numFmtId="170" fontId="0" fillId="5" borderId="30" xfId="0" applyFill="1" applyBorder="1" applyAlignment="1" applyProtection="1">
      <alignment horizontal="center"/>
    </xf>
    <xf numFmtId="170" fontId="0" fillId="2" borderId="140" xfId="0" applyFill="1" applyBorder="1" applyAlignment="1" applyProtection="1">
      <alignment horizontal="center" vertical="center" textRotation="90"/>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3" xfId="0" applyFont="1" applyFill="1" applyBorder="1" applyAlignment="1" applyProtection="1">
      <alignment horizontal="center" vertical="center"/>
    </xf>
    <xf numFmtId="170" fontId="51" fillId="0" borderId="124" xfId="0" applyFont="1" applyFill="1" applyBorder="1" applyAlignment="1" applyProtection="1">
      <alignment horizontal="center" vertical="center"/>
    </xf>
    <xf numFmtId="170" fontId="51" fillId="0" borderId="125" xfId="0" applyFont="1" applyFill="1" applyBorder="1" applyAlignment="1" applyProtection="1">
      <alignment horizontal="center" vertical="center"/>
    </xf>
    <xf numFmtId="170" fontId="0" fillId="0" borderId="126" xfId="0" applyFill="1" applyBorder="1" applyAlignment="1" applyProtection="1">
      <alignment horizontal="center" vertical="center"/>
      <protection locked="0"/>
    </xf>
    <xf numFmtId="170" fontId="0" fillId="0" borderId="127" xfId="0" applyFill="1" applyBorder="1" applyAlignment="1" applyProtection="1">
      <alignment horizontal="center" vertical="center"/>
      <protection locked="0"/>
    </xf>
    <xf numFmtId="170" fontId="0" fillId="0" borderId="128" xfId="0" applyFill="1" applyBorder="1" applyAlignment="1" applyProtection="1">
      <alignment horizontal="center" vertical="center"/>
      <protection locked="0"/>
    </xf>
    <xf numFmtId="49" fontId="0" fillId="0" borderId="28"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28" xfId="0" applyNumberFormat="1" applyBorder="1" applyAlignment="1" applyProtection="1">
      <alignment horizontal="justify" wrapText="1"/>
      <protection locked="0"/>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170" fontId="114" fillId="0" borderId="87" xfId="0" applyFont="1" applyFill="1" applyBorder="1" applyAlignment="1" applyProtection="1">
      <alignment horizontal="right" wrapText="1"/>
    </xf>
    <xf numFmtId="170" fontId="114" fillId="0" borderId="129" xfId="0" applyFont="1" applyFill="1" applyBorder="1" applyAlignment="1" applyProtection="1">
      <alignment horizontal="right" wrapText="1"/>
    </xf>
    <xf numFmtId="171" fontId="97" fillId="0" borderId="2" xfId="20" applyNumberFormat="1" applyFont="1" applyFill="1" applyBorder="1" applyAlignment="1" applyProtection="1">
      <alignment horizontal="center"/>
      <protection locked="0"/>
    </xf>
    <xf numFmtId="171" fontId="105" fillId="0" borderId="2" xfId="20" applyNumberFormat="1" applyFill="1" applyBorder="1" applyAlignment="1" applyProtection="1">
      <alignment horizontal="center"/>
      <protection locked="0"/>
    </xf>
    <xf numFmtId="172" fontId="107" fillId="0" borderId="28" xfId="0" applyNumberFormat="1" applyFont="1" applyFill="1" applyBorder="1" applyAlignment="1" applyProtection="1">
      <alignment horizontal="center"/>
      <protection locked="0"/>
    </xf>
    <xf numFmtId="172" fontId="107" fillId="0" borderId="30" xfId="0" applyNumberFormat="1" applyFont="1" applyFill="1" applyBorder="1" applyAlignment="1" applyProtection="1">
      <alignment horizontal="center"/>
      <protection locked="0"/>
    </xf>
    <xf numFmtId="49" fontId="111" fillId="0" borderId="2" xfId="0" applyNumberFormat="1" applyFont="1" applyBorder="1" applyAlignment="1" applyProtection="1">
      <alignment horizontal="center"/>
      <protection locked="0"/>
    </xf>
    <xf numFmtId="49" fontId="0" fillId="0" borderId="29" xfId="0" applyNumberFormat="1" applyBorder="1" applyAlignment="1" applyProtection="1">
      <alignment horizontal="center"/>
      <protection locked="0"/>
    </xf>
    <xf numFmtId="164" fontId="8" fillId="16" borderId="2" xfId="20" applyFont="1" applyFill="1" applyBorder="1" applyAlignment="1" applyProtection="1">
      <alignment horizontal="center"/>
      <protection locked="0"/>
    </xf>
    <xf numFmtId="164" fontId="17" fillId="6" borderId="25" xfId="20" applyFont="1" applyFill="1" applyBorder="1" applyAlignment="1" applyProtection="1">
      <alignment horizontal="center"/>
    </xf>
    <xf numFmtId="164" fontId="1" fillId="0" borderId="25" xfId="20" applyFont="1" applyFill="1" applyBorder="1" applyAlignment="1" applyProtection="1">
      <alignment horizontal="right"/>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xf numFmtId="164" fontId="112" fillId="14" borderId="0" xfId="4" applyFont="1" applyFill="1" applyAlignment="1" applyProtection="1">
      <alignment horizontal="center" vertic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64" fontId="28" fillId="0" borderId="0" xfId="0" applyNumberFormat="1" applyFont="1" applyAlignment="1">
      <alignment wrapText="1"/>
    </xf>
    <xf numFmtId="170" fontId="0" fillId="0" borderId="0" xfId="0" applyAlignment="1">
      <alignment wrapText="1"/>
    </xf>
    <xf numFmtId="170" fontId="23" fillId="5" borderId="28" xfId="0" applyFont="1" applyFill="1" applyBorder="1" applyAlignment="1" applyProtection="1">
      <alignment horizontal="justify" vertical="center" wrapText="1"/>
      <protection locked="0"/>
    </xf>
    <xf numFmtId="170" fontId="107" fillId="0" borderId="29" xfId="0" applyFont="1" applyBorder="1" applyAlignment="1">
      <alignment horizontal="justify" vertical="center" wrapText="1"/>
    </xf>
    <xf numFmtId="170" fontId="107" fillId="0" borderId="30" xfId="0" applyFont="1" applyBorder="1" applyAlignment="1">
      <alignment horizontal="justify" vertical="center" wrapText="1"/>
    </xf>
    <xf numFmtId="170" fontId="23" fillId="5" borderId="29" xfId="0" applyFont="1" applyFill="1" applyBorder="1" applyAlignment="1" applyProtection="1">
      <alignment horizontal="justify" vertical="center" wrapText="1"/>
      <protection locked="0"/>
    </xf>
    <xf numFmtId="170" fontId="23" fillId="5" borderId="30" xfId="0" applyFont="1" applyFill="1" applyBorder="1" applyAlignment="1" applyProtection="1">
      <alignment horizontal="justify" vertical="center" wrapText="1"/>
      <protection locked="0"/>
    </xf>
    <xf numFmtId="170" fontId="7" fillId="0" borderId="0" xfId="0" applyFont="1" applyBorder="1" applyAlignment="1">
      <alignment horizontal="center"/>
    </xf>
    <xf numFmtId="164" fontId="28" fillId="0" borderId="0" xfId="0" applyNumberFormat="1" applyFont="1" applyFill="1" applyAlignment="1">
      <alignment wrapText="1"/>
    </xf>
    <xf numFmtId="170" fontId="0" fillId="0" borderId="0" xfId="0" applyFill="1" applyAlignment="1">
      <alignment wrapText="1"/>
    </xf>
    <xf numFmtId="170" fontId="57" fillId="0" borderId="0" xfId="0" applyFont="1" applyAlignment="1">
      <alignment horizontal="left" wrapText="1"/>
    </xf>
    <xf numFmtId="170" fontId="0" fillId="0" borderId="126" xfId="0" applyFill="1" applyBorder="1" applyAlignment="1" applyProtection="1">
      <alignment horizontal="center" vertical="center"/>
    </xf>
    <xf numFmtId="170" fontId="0" fillId="0" borderId="127" xfId="0" applyFill="1" applyBorder="1" applyAlignment="1" applyProtection="1">
      <alignment horizontal="center" vertical="center"/>
    </xf>
    <xf numFmtId="170" fontId="0" fillId="0" borderId="128" xfId="0" applyFill="1" applyBorder="1" applyAlignment="1" applyProtection="1">
      <alignment horizontal="center" vertical="center"/>
    </xf>
    <xf numFmtId="164" fontId="113" fillId="14"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64" fontId="21" fillId="0" borderId="0" xfId="0" applyNumberFormat="1" applyFont="1" applyAlignment="1" applyProtection="1">
      <alignment horizontal="left"/>
    </xf>
    <xf numFmtId="170" fontId="0" fillId="0" borderId="141" xfId="0" applyBorder="1" applyAlignment="1" applyProtection="1">
      <alignment horizontal="center"/>
    </xf>
    <xf numFmtId="170" fontId="0" fillId="0" borderId="43" xfId="0" applyBorder="1" applyAlignment="1" applyProtection="1">
      <alignment horizontal="center"/>
    </xf>
    <xf numFmtId="170" fontId="88" fillId="0" borderId="142" xfId="0" applyFont="1" applyFill="1" applyBorder="1" applyAlignment="1" applyProtection="1">
      <alignment horizontal="left" wrapText="1"/>
    </xf>
    <xf numFmtId="170" fontId="88" fillId="0" borderId="143" xfId="0" applyFont="1" applyFill="1" applyBorder="1" applyAlignment="1" applyProtection="1">
      <alignment horizontal="left" wrapText="1"/>
    </xf>
    <xf numFmtId="164" fontId="30" fillId="0" borderId="0" xfId="0" applyNumberFormat="1" applyFont="1" applyAlignment="1" applyProtection="1">
      <alignment wrapText="1"/>
    </xf>
    <xf numFmtId="170" fontId="82" fillId="0" borderId="0" xfId="0" applyFont="1" applyAlignment="1" applyProtection="1">
      <alignment horizontal="center"/>
    </xf>
    <xf numFmtId="170" fontId="88" fillId="0" borderId="144" xfId="0" applyFont="1" applyFill="1" applyBorder="1" applyAlignment="1" applyProtection="1">
      <alignment horizontal="left" wrapText="1"/>
    </xf>
    <xf numFmtId="170" fontId="88" fillId="0" borderId="69"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30" fillId="5" borderId="28" xfId="0" applyFont="1" applyFill="1" applyBorder="1" applyAlignment="1" applyProtection="1">
      <alignment horizontal="justify" vertical="center" wrapText="1"/>
      <protection locked="0"/>
    </xf>
    <xf numFmtId="170" fontId="130" fillId="5" borderId="29" xfId="0" applyFont="1" applyFill="1" applyBorder="1" applyAlignment="1" applyProtection="1">
      <alignment horizontal="justify" vertical="center" wrapText="1"/>
      <protection locked="0"/>
    </xf>
    <xf numFmtId="170" fontId="130" fillId="5" borderId="30" xfId="0" applyFont="1" applyFill="1" applyBorder="1" applyAlignment="1" applyProtection="1">
      <alignment horizontal="justify" vertical="center" wrapText="1"/>
      <protection locked="0"/>
    </xf>
    <xf numFmtId="164" fontId="81" fillId="0" borderId="119" xfId="0" applyNumberFormat="1" applyFont="1" applyBorder="1" applyAlignment="1" applyProtection="1">
      <alignment horizontal="center" vertical="center" wrapText="1"/>
    </xf>
    <xf numFmtId="164" fontId="81" fillId="0" borderId="120" xfId="0" applyNumberFormat="1" applyFont="1" applyBorder="1" applyAlignment="1" applyProtection="1">
      <alignment horizontal="center" vertical="center" wrapText="1"/>
    </xf>
    <xf numFmtId="164" fontId="81" fillId="0" borderId="121" xfId="0" applyNumberFormat="1" applyFont="1" applyBorder="1" applyAlignment="1" applyProtection="1">
      <alignment horizontal="center" vertical="center" wrapText="1"/>
    </xf>
    <xf numFmtId="170" fontId="126" fillId="0" borderId="29" xfId="0" applyFont="1" applyBorder="1" applyAlignment="1" applyProtection="1">
      <alignment horizontal="justify" vertical="center" wrapText="1"/>
      <protection locked="0"/>
    </xf>
    <xf numFmtId="170" fontId="126" fillId="0" borderId="30" xfId="0" applyFont="1" applyBorder="1" applyAlignment="1" applyProtection="1">
      <alignment horizontal="justify" vertical="center" wrapText="1"/>
      <protection locked="0"/>
    </xf>
    <xf numFmtId="170" fontId="136" fillId="5" borderId="28" xfId="0" applyFont="1" applyFill="1" applyBorder="1" applyAlignment="1" applyProtection="1">
      <alignment horizontal="justify" vertical="center" wrapText="1"/>
      <protection locked="0"/>
    </xf>
    <xf numFmtId="170" fontId="132" fillId="0" borderId="29" xfId="0" applyFont="1" applyBorder="1" applyAlignment="1" applyProtection="1">
      <alignment horizontal="justify" vertical="center" wrapText="1"/>
      <protection locked="0"/>
    </xf>
    <xf numFmtId="170" fontId="132" fillId="0" borderId="30" xfId="0" applyFont="1" applyBorder="1" applyAlignment="1" applyProtection="1">
      <alignment horizontal="justify" vertical="center" wrapText="1"/>
      <protection locked="0"/>
    </xf>
    <xf numFmtId="164" fontId="42" fillId="14" borderId="0" xfId="13" applyFont="1" applyFill="1" applyAlignment="1" applyProtection="1">
      <alignment horizontal="center" vertical="center"/>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170" fontId="27" fillId="0" borderId="30" xfId="0" applyFont="1" applyBorder="1" applyAlignment="1" applyProtection="1">
      <alignment horizontal="center" vertical="center"/>
    </xf>
    <xf numFmtId="9" fontId="80" fillId="5" borderId="2" xfId="19" applyFont="1" applyFill="1" applyBorder="1" applyAlignment="1" applyProtection="1">
      <alignment horizontal="justify" vertical="center" wrapText="1"/>
      <protection locked="0"/>
    </xf>
    <xf numFmtId="9" fontId="134" fillId="5" borderId="2" xfId="19" applyFont="1" applyFill="1" applyBorder="1" applyAlignment="1" applyProtection="1">
      <alignment horizontal="justify" vertical="center" wrapText="1"/>
      <protection locked="0"/>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176" fontId="21" fillId="0" borderId="30" xfId="19" applyNumberFormat="1" applyFont="1" applyBorder="1" applyAlignment="1" applyProtection="1">
      <alignment horizontal="center" vertical="center" wrapText="1"/>
    </xf>
    <xf numFmtId="9" fontId="30" fillId="15" borderId="28" xfId="19" applyFont="1" applyFill="1" applyBorder="1" applyAlignment="1" applyProtection="1">
      <alignment horizontal="center" vertical="center" wrapText="1"/>
    </xf>
    <xf numFmtId="9" fontId="30" fillId="15" borderId="30" xfId="19" applyFont="1" applyFill="1" applyBorder="1" applyAlignment="1" applyProtection="1">
      <alignment horizontal="center" vertical="center" wrapText="1"/>
    </xf>
    <xf numFmtId="9" fontId="30" fillId="17" borderId="28" xfId="19" applyFont="1" applyFill="1" applyBorder="1" applyAlignment="1" applyProtection="1">
      <alignment horizontal="center" vertical="center" wrapText="1"/>
    </xf>
    <xf numFmtId="9" fontId="30" fillId="17" borderId="30" xfId="19" applyFont="1" applyFill="1" applyBorder="1" applyAlignment="1" applyProtection="1">
      <alignment horizontal="center" vertical="center" wrapText="1"/>
    </xf>
    <xf numFmtId="170" fontId="27" fillId="3" borderId="0" xfId="0" applyFont="1" applyFill="1" applyAlignment="1" applyProtection="1">
      <alignment horizontal="center" vertical="center" wrapText="1"/>
    </xf>
    <xf numFmtId="170" fontId="80" fillId="0" borderId="2" xfId="0" applyFont="1" applyBorder="1" applyAlignment="1" applyProtection="1">
      <alignment horizontal="justify" vertical="center" wrapText="1"/>
    </xf>
    <xf numFmtId="170" fontId="27" fillId="3" borderId="0" xfId="0" applyFont="1" applyFill="1" applyAlignment="1" applyProtection="1">
      <alignment horizontal="left"/>
      <protection locked="0"/>
    </xf>
    <xf numFmtId="170" fontId="27" fillId="3" borderId="26" xfId="0" applyFont="1" applyFill="1" applyBorder="1" applyAlignment="1" applyProtection="1">
      <alignment horizontal="left"/>
      <protection locked="0"/>
    </xf>
    <xf numFmtId="170" fontId="27" fillId="3" borderId="145"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170" fontId="27" fillId="3" borderId="0" xfId="0" applyFont="1" applyFill="1" applyBorder="1" applyAlignment="1" applyProtection="1">
      <alignment horizontal="left"/>
    </xf>
    <xf numFmtId="170" fontId="27" fillId="3" borderId="0" xfId="0" applyFont="1" applyFill="1" applyBorder="1" applyAlignment="1" applyProtection="1">
      <alignment horizontal="left" vertical="center" wrapText="1"/>
    </xf>
    <xf numFmtId="170" fontId="80" fillId="0" borderId="28" xfId="0" applyFont="1" applyBorder="1" applyAlignment="1" applyProtection="1">
      <alignment horizontal="justify" vertical="center" wrapText="1"/>
    </xf>
    <xf numFmtId="170" fontId="80" fillId="0" borderId="29" xfId="0" applyFont="1" applyBorder="1" applyAlignment="1" applyProtection="1">
      <alignment horizontal="justify" vertical="center" wrapText="1"/>
    </xf>
    <xf numFmtId="170" fontId="80" fillId="0" borderId="30" xfId="0" applyFont="1" applyBorder="1" applyAlignment="1" applyProtection="1">
      <alignment horizontal="justify" vertical="center" wrapText="1"/>
    </xf>
    <xf numFmtId="170" fontId="80" fillId="5" borderId="28" xfId="19" applyNumberFormat="1" applyFont="1" applyFill="1" applyBorder="1" applyAlignment="1" applyProtection="1">
      <alignment horizontal="justify" vertical="center" wrapText="1"/>
      <protection locked="0"/>
    </xf>
    <xf numFmtId="9" fontId="80" fillId="5" borderId="29" xfId="19" applyFont="1" applyFill="1" applyBorder="1" applyAlignment="1" applyProtection="1">
      <alignment horizontal="justify" vertical="center" wrapText="1"/>
      <protection locked="0"/>
    </xf>
    <xf numFmtId="9" fontId="80" fillId="5" borderId="30" xfId="19" applyFont="1" applyFill="1" applyBorder="1" applyAlignment="1" applyProtection="1">
      <alignment horizontal="justify" vertical="center" wrapText="1"/>
      <protection locked="0"/>
    </xf>
    <xf numFmtId="170" fontId="80" fillId="5" borderId="29" xfId="19" applyNumberFormat="1" applyFont="1" applyFill="1" applyBorder="1" applyAlignment="1" applyProtection="1">
      <alignment horizontal="justify" vertical="center" wrapText="1"/>
      <protection locked="0"/>
    </xf>
    <xf numFmtId="170" fontId="80" fillId="5" borderId="30" xfId="19" applyNumberFormat="1" applyFont="1" applyFill="1" applyBorder="1" applyAlignment="1" applyProtection="1">
      <alignment horizontal="justify" vertical="center" wrapText="1"/>
      <protection locked="0"/>
    </xf>
    <xf numFmtId="170" fontId="134" fillId="5" borderId="29" xfId="19" applyNumberFormat="1" applyFont="1" applyFill="1" applyBorder="1" applyAlignment="1" applyProtection="1">
      <alignment horizontal="justify" vertical="center" wrapText="1"/>
      <protection locked="0"/>
    </xf>
    <xf numFmtId="170" fontId="134" fillId="5" borderId="30" xfId="19" applyNumberFormat="1" applyFont="1" applyFill="1" applyBorder="1" applyAlignment="1" applyProtection="1">
      <alignment horizontal="justify" vertical="center" wrapText="1"/>
      <protection locked="0"/>
    </xf>
    <xf numFmtId="170" fontId="23" fillId="3" borderId="0" xfId="0" applyFont="1" applyFill="1" applyBorder="1" applyAlignment="1" applyProtection="1">
      <alignment horizontal="left"/>
    </xf>
    <xf numFmtId="9" fontId="134" fillId="5" borderId="28" xfId="19" applyFont="1" applyFill="1" applyBorder="1" applyAlignment="1" applyProtection="1">
      <alignment horizontal="justify" vertical="center" wrapText="1"/>
      <protection locked="0"/>
    </xf>
    <xf numFmtId="9" fontId="134" fillId="5" borderId="29" xfId="19" applyFont="1" applyFill="1" applyBorder="1" applyAlignment="1" applyProtection="1">
      <alignment horizontal="justify" vertical="center" wrapText="1"/>
      <protection locked="0"/>
    </xf>
    <xf numFmtId="9" fontId="134" fillId="5" borderId="30" xfId="19" applyFont="1" applyFill="1" applyBorder="1" applyAlignment="1" applyProtection="1">
      <alignment horizontal="justify" vertical="center" wrapText="1"/>
      <protection locked="0"/>
    </xf>
    <xf numFmtId="170" fontId="83" fillId="5" borderId="28" xfId="0" applyFont="1" applyFill="1" applyBorder="1" applyAlignment="1" applyProtection="1">
      <alignment horizontal="justify" vertical="top" wrapText="1"/>
      <protection locked="0"/>
    </xf>
    <xf numFmtId="170" fontId="129" fillId="5" borderId="29" xfId="0" applyFont="1" applyFill="1" applyBorder="1" applyAlignment="1" applyProtection="1">
      <alignment horizontal="justify" vertical="top" wrapText="1"/>
      <protection locked="0"/>
    </xf>
    <xf numFmtId="170" fontId="129" fillId="5" borderId="30" xfId="0" applyFont="1" applyFill="1" applyBorder="1" applyAlignment="1" applyProtection="1">
      <alignment horizontal="justify" vertical="top" wrapText="1"/>
      <protection locked="0"/>
    </xf>
    <xf numFmtId="164" fontId="21" fillId="0" borderId="0" xfId="0" applyNumberFormat="1" applyFont="1" applyAlignment="1" applyProtection="1">
      <alignment horizontal="right" wrapText="1"/>
    </xf>
    <xf numFmtId="174" fontId="129" fillId="0" borderId="29" xfId="0" applyNumberFormat="1" applyFont="1" applyBorder="1" applyAlignment="1" applyProtection="1">
      <alignment horizontal="justify" vertical="center" wrapText="1"/>
    </xf>
    <xf numFmtId="170" fontId="129" fillId="0" borderId="29" xfId="0" applyFont="1" applyBorder="1" applyAlignment="1" applyProtection="1">
      <alignment horizontal="justify" vertical="center" wrapText="1"/>
    </xf>
    <xf numFmtId="170" fontId="135" fillId="0" borderId="29" xfId="0" applyFont="1" applyBorder="1" applyAlignment="1">
      <alignment horizontal="justify" vertical="top" wrapText="1"/>
    </xf>
    <xf numFmtId="170" fontId="135" fillId="0" borderId="30" xfId="0" applyFont="1" applyBorder="1" applyAlignment="1">
      <alignment horizontal="justify" vertical="top" wrapText="1"/>
    </xf>
    <xf numFmtId="170" fontId="129" fillId="5" borderId="28" xfId="0" applyFont="1" applyFill="1" applyBorder="1" applyAlignment="1" applyProtection="1">
      <alignment horizontal="justify" vertical="top" wrapText="1"/>
      <protection locked="0"/>
    </xf>
    <xf numFmtId="170" fontId="26" fillId="0" borderId="74" xfId="0" applyFont="1" applyBorder="1" applyAlignment="1" applyProtection="1">
      <alignment horizontal="center"/>
    </xf>
    <xf numFmtId="170" fontId="27" fillId="0" borderId="2" xfId="0" applyFont="1" applyBorder="1" applyAlignment="1" applyProtection="1">
      <alignment horizontal="center" vertical="center" wrapText="1"/>
    </xf>
    <xf numFmtId="170" fontId="119" fillId="0" borderId="164" xfId="0" applyFont="1" applyFill="1" applyBorder="1" applyAlignment="1" applyProtection="1">
      <alignment horizontal="center"/>
    </xf>
    <xf numFmtId="170" fontId="119" fillId="0" borderId="165"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64" xfId="0" applyFont="1" applyFill="1" applyBorder="1" applyAlignment="1" applyProtection="1">
      <alignment horizontal="center"/>
    </xf>
    <xf numFmtId="170" fontId="41" fillId="9" borderId="152" xfId="0" applyFont="1" applyFill="1" applyBorder="1" applyAlignment="1" applyProtection="1">
      <alignment horizontal="center" vertical="center"/>
    </xf>
    <xf numFmtId="170" fontId="41" fillId="9" borderId="153" xfId="0" applyFont="1" applyFill="1" applyBorder="1" applyAlignment="1" applyProtection="1">
      <alignment horizontal="center" vertical="center"/>
    </xf>
    <xf numFmtId="170" fontId="41" fillId="9" borderId="154" xfId="0" applyFont="1" applyFill="1" applyBorder="1" applyAlignment="1" applyProtection="1">
      <alignment horizontal="center" vertical="center"/>
    </xf>
    <xf numFmtId="49" fontId="2" fillId="9" borderId="168" xfId="0" applyNumberFormat="1" applyFont="1" applyFill="1" applyBorder="1" applyAlignment="1" applyProtection="1">
      <alignment horizontal="center" vertical="center"/>
      <protection locked="0"/>
    </xf>
    <xf numFmtId="49" fontId="2" fillId="9" borderId="169" xfId="0" applyNumberFormat="1" applyFont="1" applyFill="1" applyBorder="1" applyAlignment="1" applyProtection="1">
      <alignment horizontal="center" vertical="center"/>
      <protection locked="0"/>
    </xf>
    <xf numFmtId="49" fontId="2" fillId="9" borderId="170" xfId="0" applyNumberFormat="1" applyFont="1" applyFill="1" applyBorder="1" applyAlignment="1" applyProtection="1">
      <alignment horizontal="center" vertical="center"/>
      <protection locked="0"/>
    </xf>
    <xf numFmtId="170" fontId="2" fillId="0" borderId="29" xfId="0" applyNumberFormat="1" applyFont="1" applyFill="1" applyBorder="1" applyAlignment="1" applyProtection="1">
      <alignment horizontal="justify" vertical="center" wrapText="1"/>
    </xf>
    <xf numFmtId="170" fontId="2" fillId="0" borderId="167" xfId="0" applyNumberFormat="1" applyFont="1" applyFill="1" applyBorder="1" applyAlignment="1" applyProtection="1">
      <alignment horizontal="justify" vertical="center" wrapText="1"/>
    </xf>
    <xf numFmtId="170" fontId="95" fillId="6" borderId="172" xfId="0" applyFont="1" applyFill="1" applyBorder="1" applyAlignment="1" applyProtection="1">
      <alignment horizontal="center" vertical="center"/>
    </xf>
    <xf numFmtId="170" fontId="95" fillId="6" borderId="173" xfId="0" applyFont="1" applyFill="1" applyBorder="1" applyAlignment="1" applyProtection="1">
      <alignment horizontal="center" vertical="center"/>
    </xf>
    <xf numFmtId="170" fontId="107" fillId="0" borderId="173" xfId="0" applyFont="1" applyBorder="1" applyAlignment="1">
      <alignment horizontal="center" vertical="center"/>
    </xf>
    <xf numFmtId="170" fontId="2" fillId="0" borderId="146" xfId="0" applyNumberFormat="1" applyFont="1" applyFill="1" applyBorder="1" applyAlignment="1" applyProtection="1">
      <alignment horizontal="justify" vertical="center" wrapText="1"/>
    </xf>
    <xf numFmtId="170" fontId="2" fillId="0" borderId="147"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8" xfId="0" applyNumberFormat="1" applyFont="1" applyFill="1" applyBorder="1" applyAlignment="1" applyProtection="1">
      <alignment horizontal="justify" vertical="center" wrapText="1"/>
    </xf>
    <xf numFmtId="170" fontId="95" fillId="6" borderId="174" xfId="0" applyFont="1" applyFill="1" applyBorder="1" applyAlignment="1" applyProtection="1">
      <alignment horizontal="center" vertical="center"/>
    </xf>
    <xf numFmtId="170" fontId="95" fillId="6" borderId="175" xfId="0" applyFont="1" applyFill="1" applyBorder="1" applyAlignment="1" applyProtection="1">
      <alignment horizontal="center" vertical="center"/>
    </xf>
    <xf numFmtId="170" fontId="95" fillId="6" borderId="176" xfId="0" applyFont="1" applyFill="1" applyBorder="1" applyAlignment="1" applyProtection="1">
      <alignment horizontal="center" vertical="center"/>
    </xf>
    <xf numFmtId="170" fontId="119" fillId="0" borderId="0" xfId="0" applyFont="1" applyFill="1" applyBorder="1" applyAlignment="1" applyProtection="1">
      <alignment horizontal="center"/>
    </xf>
    <xf numFmtId="170" fontId="2" fillId="0" borderId="150" xfId="0" applyNumberFormat="1" applyFont="1" applyFill="1" applyBorder="1" applyAlignment="1" applyProtection="1">
      <alignment horizontal="justify" vertical="center" wrapText="1"/>
    </xf>
    <xf numFmtId="170" fontId="2" fillId="0" borderId="151"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7"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8" xfId="0" applyNumberFormat="1" applyFont="1" applyFill="1" applyBorder="1" applyAlignment="1" applyProtection="1">
      <alignment horizontal="center" vertical="center"/>
      <protection locked="0"/>
    </xf>
    <xf numFmtId="170" fontId="2" fillId="6" borderId="161" xfId="0" applyFont="1" applyFill="1" applyBorder="1" applyAlignment="1" applyProtection="1">
      <alignment horizontal="center" vertical="center" wrapText="1"/>
      <protection locked="0"/>
    </xf>
    <xf numFmtId="170" fontId="2" fillId="6" borderId="162" xfId="0" applyFont="1" applyFill="1" applyBorder="1" applyAlignment="1" applyProtection="1">
      <alignment horizontal="center" vertical="center" wrapText="1"/>
      <protection locked="0"/>
    </xf>
    <xf numFmtId="170" fontId="2" fillId="6" borderId="163" xfId="0" applyFont="1" applyFill="1" applyBorder="1" applyAlignment="1" applyProtection="1">
      <alignment horizontal="center" vertical="center" wrapText="1"/>
      <protection locked="0"/>
    </xf>
    <xf numFmtId="170" fontId="2" fillId="0" borderId="179" xfId="0" applyNumberFormat="1" applyFont="1" applyFill="1" applyBorder="1" applyAlignment="1" applyProtection="1">
      <alignment horizontal="justify" vertical="center" wrapText="1"/>
    </xf>
    <xf numFmtId="170" fontId="2" fillId="0" borderId="180" xfId="0" applyNumberFormat="1" applyFont="1" applyFill="1" applyBorder="1" applyAlignment="1" applyProtection="1">
      <alignment horizontal="justify" vertical="center" wrapText="1"/>
    </xf>
    <xf numFmtId="170" fontId="2" fillId="0" borderId="171" xfId="0" applyNumberFormat="1" applyFont="1" applyFill="1" applyBorder="1" applyAlignment="1" applyProtection="1">
      <alignment horizontal="justify" vertical="center" wrapText="1"/>
    </xf>
    <xf numFmtId="170" fontId="41" fillId="5" borderId="183" xfId="0" applyFont="1" applyFill="1" applyBorder="1" applyAlignment="1" applyProtection="1">
      <alignment horizontal="center" vertical="center"/>
    </xf>
    <xf numFmtId="170" fontId="41" fillId="5" borderId="184" xfId="0" applyFont="1" applyFill="1" applyBorder="1" applyAlignment="1" applyProtection="1">
      <alignment horizontal="center" vertical="center"/>
    </xf>
    <xf numFmtId="170" fontId="41" fillId="5" borderId="185" xfId="0" applyFont="1" applyFill="1" applyBorder="1" applyAlignment="1" applyProtection="1">
      <alignment horizontal="center" vertical="center"/>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2" fillId="6" borderId="159" xfId="0" applyFont="1" applyFill="1" applyBorder="1" applyAlignment="1" applyProtection="1">
      <alignment horizontal="center" vertical="center" wrapText="1"/>
      <protection locked="0"/>
    </xf>
    <xf numFmtId="170" fontId="2" fillId="6" borderId="160" xfId="0" applyFont="1" applyFill="1" applyBorder="1" applyAlignment="1" applyProtection="1">
      <alignment horizontal="center" vertical="center" wrapText="1"/>
      <protection locked="0"/>
    </xf>
    <xf numFmtId="9" fontId="2" fillId="0" borderId="181" xfId="19" applyNumberFormat="1" applyFont="1" applyFill="1" applyBorder="1" applyAlignment="1" applyProtection="1">
      <alignment horizontal="justify" vertical="center" wrapText="1"/>
    </xf>
    <xf numFmtId="170" fontId="2" fillId="0" borderId="166" xfId="19" applyNumberFormat="1" applyFont="1" applyFill="1" applyBorder="1" applyAlignment="1" applyProtection="1">
      <alignment horizontal="justify" vertical="center" wrapText="1"/>
    </xf>
    <xf numFmtId="170" fontId="2" fillId="0" borderId="182" xfId="19" applyNumberFormat="1" applyFont="1" applyFill="1" applyBorder="1" applyAlignment="1" applyProtection="1">
      <alignment horizontal="justify" vertical="center" wrapText="1"/>
    </xf>
    <xf numFmtId="170" fontId="2" fillId="0" borderId="181" xfId="19" applyNumberFormat="1" applyFont="1" applyFill="1" applyBorder="1" applyAlignment="1" applyProtection="1">
      <alignment horizontal="justify" vertical="center" wrapText="1"/>
    </xf>
    <xf numFmtId="170" fontId="2" fillId="5" borderId="148" xfId="0" applyFont="1" applyFill="1" applyBorder="1" applyAlignment="1" applyProtection="1">
      <alignment horizontal="justify" vertical="top" wrapText="1"/>
      <protection locked="0"/>
    </xf>
    <xf numFmtId="170" fontId="107" fillId="0" borderId="81" xfId="0" applyFont="1" applyBorder="1" applyAlignment="1">
      <alignment horizontal="justify" vertical="top" wrapText="1"/>
    </xf>
    <xf numFmtId="170" fontId="107" fillId="0" borderId="149" xfId="0" applyFont="1" applyBorder="1" applyAlignment="1">
      <alignment horizontal="justify" vertical="top" wrapText="1"/>
    </xf>
    <xf numFmtId="170" fontId="2" fillId="5" borderId="221" xfId="0" applyFont="1" applyFill="1" applyBorder="1" applyAlignment="1" applyProtection="1">
      <alignment horizontal="justify" vertical="top" wrapText="1"/>
      <protection locked="0"/>
    </xf>
    <xf numFmtId="170" fontId="107" fillId="0" borderId="222" xfId="0" applyFont="1" applyBorder="1" applyAlignment="1">
      <alignment horizontal="justify" vertical="top" wrapText="1"/>
    </xf>
    <xf numFmtId="170" fontId="107" fillId="0" borderId="223" xfId="0" applyFont="1" applyBorder="1" applyAlignment="1">
      <alignment horizontal="justify" vertical="top" wrapText="1"/>
    </xf>
    <xf numFmtId="170" fontId="2" fillId="0" borderId="186" xfId="0" applyNumberFormat="1" applyFont="1" applyFill="1" applyBorder="1" applyAlignment="1" applyProtection="1">
      <alignment horizontal="justify" vertical="center" wrapText="1"/>
    </xf>
    <xf numFmtId="170" fontId="2" fillId="0" borderId="187" xfId="0" applyNumberFormat="1" applyFont="1" applyFill="1" applyBorder="1" applyAlignment="1" applyProtection="1">
      <alignment horizontal="justify" vertical="center" wrapText="1"/>
    </xf>
    <xf numFmtId="170" fontId="2" fillId="0" borderId="188" xfId="0" applyNumberFormat="1" applyFont="1" applyFill="1" applyBorder="1" applyAlignment="1" applyProtection="1">
      <alignment horizontal="justify" vertical="center" wrapText="1"/>
    </xf>
    <xf numFmtId="170" fontId="70" fillId="4" borderId="109" xfId="0" applyFont="1" applyFill="1" applyBorder="1" applyAlignment="1">
      <alignment horizontal="center" vertical="center" textRotation="90"/>
    </xf>
    <xf numFmtId="170" fontId="0" fillId="4" borderId="67" xfId="0" applyFill="1" applyBorder="1" applyAlignment="1">
      <alignment horizontal="center" vertical="center" textRotation="90"/>
    </xf>
    <xf numFmtId="170" fontId="0" fillId="4" borderId="77" xfId="0" applyFill="1" applyBorder="1" applyAlignment="1">
      <alignment horizontal="center" vertical="center" textRotation="90"/>
    </xf>
    <xf numFmtId="170" fontId="14" fillId="0" borderId="209" xfId="0" applyFont="1" applyFill="1" applyBorder="1" applyAlignment="1" applyProtection="1">
      <alignment horizontal="left"/>
      <protection locked="0"/>
    </xf>
    <xf numFmtId="170" fontId="14" fillId="0" borderId="166" xfId="0" applyFont="1" applyFill="1" applyBorder="1" applyAlignment="1" applyProtection="1">
      <alignment horizontal="left"/>
      <protection locked="0"/>
    </xf>
    <xf numFmtId="170" fontId="14" fillId="0" borderId="198"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199" xfId="0" applyFont="1" applyFill="1" applyBorder="1" applyAlignment="1" applyProtection="1">
      <alignment horizontal="left"/>
      <protection locked="0"/>
    </xf>
    <xf numFmtId="170" fontId="14" fillId="0" borderId="200" xfId="0" applyFont="1" applyFill="1" applyBorder="1" applyAlignment="1" applyProtection="1">
      <alignment horizontal="left"/>
      <protection locked="0"/>
    </xf>
    <xf numFmtId="170" fontId="14" fillId="0" borderId="195" xfId="0" applyFont="1" applyBorder="1" applyAlignment="1" applyProtection="1">
      <alignment horizontal="left"/>
      <protection locked="0"/>
    </xf>
    <xf numFmtId="170" fontId="14" fillId="0" borderId="189" xfId="0" applyFont="1" applyBorder="1" applyAlignment="1" applyProtection="1">
      <alignment horizontal="left"/>
      <protection locked="0"/>
    </xf>
    <xf numFmtId="170" fontId="14" fillId="0" borderId="196" xfId="0" applyFont="1" applyBorder="1" applyAlignment="1" applyProtection="1">
      <alignment horizontal="left"/>
      <protection locked="0"/>
    </xf>
    <xf numFmtId="170" fontId="14" fillId="0" borderId="197" xfId="0" applyFont="1" applyBorder="1" applyAlignment="1" applyProtection="1">
      <alignment horizontal="left"/>
      <protection locked="0"/>
    </xf>
    <xf numFmtId="170" fontId="14" fillId="0" borderId="201" xfId="0" applyFont="1" applyFill="1" applyBorder="1" applyAlignment="1" applyProtection="1">
      <alignment horizontal="left" vertical="top" wrapText="1"/>
      <protection locked="0"/>
    </xf>
    <xf numFmtId="170" fontId="14" fillId="0" borderId="202" xfId="0" applyFont="1" applyFill="1" applyBorder="1" applyAlignment="1" applyProtection="1">
      <alignment horizontal="left" vertical="top" wrapText="1"/>
      <protection locked="0"/>
    </xf>
    <xf numFmtId="170" fontId="14" fillId="0" borderId="203" xfId="0" applyFont="1" applyFill="1" applyBorder="1" applyAlignment="1" applyProtection="1">
      <alignment horizontal="left" vertical="top" wrapText="1"/>
      <protection locked="0"/>
    </xf>
    <xf numFmtId="170" fontId="14" fillId="0" borderId="204" xfId="0" applyFont="1" applyFill="1" applyBorder="1" applyAlignment="1" applyProtection="1">
      <alignment horizontal="left" vertical="top" wrapText="1"/>
      <protection locked="0"/>
    </xf>
    <xf numFmtId="170" fontId="14" fillId="0" borderId="169" xfId="0" applyFont="1" applyFill="1" applyBorder="1" applyAlignment="1" applyProtection="1">
      <alignment horizontal="left" vertical="top" wrapText="1"/>
      <protection locked="0"/>
    </xf>
    <xf numFmtId="170" fontId="14" fillId="0" borderId="205" xfId="0" applyFont="1" applyFill="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189" xfId="0" applyFont="1" applyFill="1" applyBorder="1" applyAlignment="1" applyProtection="1">
      <alignment horizontal="left"/>
      <protection locked="0"/>
    </xf>
    <xf numFmtId="170" fontId="14" fillId="0" borderId="190" xfId="0" applyFont="1" applyFill="1" applyBorder="1" applyAlignment="1" applyProtection="1">
      <alignment horizontal="left"/>
      <protection locked="0"/>
    </xf>
    <xf numFmtId="170" fontId="14" fillId="0" borderId="211" xfId="0" applyFont="1" applyFill="1" applyBorder="1" applyAlignment="1" applyProtection="1">
      <alignment horizontal="left" vertical="top" wrapText="1"/>
      <protection locked="0"/>
    </xf>
    <xf numFmtId="170" fontId="14" fillId="0" borderId="212" xfId="0" applyFont="1" applyFill="1" applyBorder="1" applyAlignment="1" applyProtection="1">
      <alignment horizontal="left" vertical="top" wrapText="1"/>
      <protection locked="0"/>
    </xf>
    <xf numFmtId="170" fontId="14" fillId="0" borderId="213" xfId="0" applyFont="1" applyFill="1" applyBorder="1" applyAlignment="1" applyProtection="1">
      <alignment horizontal="left" vertical="top" wrapText="1"/>
      <protection locked="0"/>
    </xf>
    <xf numFmtId="170" fontId="14" fillId="0" borderId="214"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protection locked="0"/>
    </xf>
    <xf numFmtId="170" fontId="14" fillId="0" borderId="207" xfId="0" applyFont="1" applyFill="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207" xfId="0" applyFont="1" applyBorder="1" applyAlignment="1" applyProtection="1">
      <alignment horizontal="left"/>
      <protection locked="0"/>
    </xf>
    <xf numFmtId="170" fontId="51" fillId="4" borderId="5" xfId="18" applyNumberFormat="1" applyFont="1" applyFill="1" applyBorder="1" applyAlignment="1">
      <alignment horizontal="center" vertical="center" wrapText="1"/>
    </xf>
    <xf numFmtId="170" fontId="51" fillId="4" borderId="218" xfId="18" applyNumberFormat="1" applyFont="1" applyFill="1" applyBorder="1" applyAlignment="1">
      <alignment horizontal="center" vertical="center" wrapText="1"/>
    </xf>
    <xf numFmtId="170" fontId="14" fillId="0" borderId="191" xfId="0" applyFont="1" applyBorder="1" applyAlignment="1" applyProtection="1">
      <alignment horizontal="left"/>
      <protection locked="0"/>
    </xf>
    <xf numFmtId="170" fontId="14" fillId="0" borderId="22" xfId="0" applyFont="1" applyFill="1" applyBorder="1" applyAlignment="1" applyProtection="1">
      <alignment horizontal="left"/>
      <protection locked="0"/>
    </xf>
    <xf numFmtId="170" fontId="14" fillId="0" borderId="215"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216" xfId="0" applyFont="1" applyFill="1" applyBorder="1" applyAlignment="1" applyProtection="1">
      <alignment horizontal="justify" vertical="center" wrapText="1"/>
      <protection locked="0"/>
    </xf>
    <xf numFmtId="170" fontId="14" fillId="0" borderId="217" xfId="0" applyFont="1" applyFill="1" applyBorder="1" applyAlignment="1" applyProtection="1">
      <alignment horizontal="justify" vertical="center" wrapText="1"/>
      <protection locked="0"/>
    </xf>
    <xf numFmtId="170" fontId="14" fillId="0" borderId="169" xfId="0" applyFont="1" applyFill="1" applyBorder="1" applyAlignment="1" applyProtection="1">
      <alignment horizontal="justify" vertical="center" wrapText="1"/>
      <protection locked="0"/>
    </xf>
    <xf numFmtId="170" fontId="14" fillId="0" borderId="205" xfId="0" applyFont="1" applyFill="1" applyBorder="1" applyAlignment="1" applyProtection="1">
      <alignment horizontal="justify" vertical="center" wrapText="1"/>
      <protection locked="0"/>
    </xf>
    <xf numFmtId="170" fontId="14" fillId="0" borderId="166" xfId="0" applyFont="1" applyFill="1" applyBorder="1" applyAlignment="1" applyProtection="1">
      <alignment horizontal="left" vertical="center" wrapText="1"/>
      <protection locked="0"/>
    </xf>
    <xf numFmtId="170" fontId="14" fillId="0" borderId="198"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protection locked="0"/>
    </xf>
    <xf numFmtId="170" fontId="14" fillId="0" borderId="199" xfId="0" applyFont="1" applyFill="1" applyBorder="1" applyAlignment="1" applyProtection="1">
      <alignment horizontal="left" vertical="center" wrapText="1"/>
      <protection locked="0"/>
    </xf>
    <xf numFmtId="170" fontId="14" fillId="0" borderId="200" xfId="0" applyFont="1" applyFill="1" applyBorder="1" applyAlignment="1" applyProtection="1">
      <alignment horizontal="left" vertical="center" wrapText="1"/>
      <protection locked="0"/>
    </xf>
    <xf numFmtId="170" fontId="14" fillId="0" borderId="206" xfId="0" applyFont="1" applyFill="1" applyBorder="1" applyAlignment="1" applyProtection="1">
      <alignment horizontal="left"/>
      <protection locked="0"/>
    </xf>
    <xf numFmtId="170" fontId="14" fillId="0" borderId="219" xfId="0" applyFont="1" applyFill="1" applyBorder="1" applyAlignment="1" applyProtection="1">
      <alignment horizontal="justify" vertical="center" wrapText="1"/>
      <protection locked="0"/>
    </xf>
    <xf numFmtId="170" fontId="14" fillId="0" borderId="202" xfId="0" applyFont="1" applyFill="1" applyBorder="1" applyAlignment="1" applyProtection="1">
      <alignment horizontal="justify" vertical="center" wrapText="1"/>
      <protection locked="0"/>
    </xf>
    <xf numFmtId="170" fontId="14" fillId="0" borderId="203" xfId="0" applyFont="1" applyFill="1" applyBorder="1" applyAlignment="1" applyProtection="1">
      <alignment horizontal="justify" vertical="center" wrapText="1"/>
      <protection locked="0"/>
    </xf>
    <xf numFmtId="164" fontId="8" fillId="13" borderId="0" xfId="22" applyFont="1" applyFill="1" applyBorder="1" applyAlignment="1" applyProtection="1">
      <alignment horizontal="center"/>
      <protection locked="0"/>
    </xf>
    <xf numFmtId="170" fontId="14" fillId="0" borderId="191" xfId="0" applyFont="1" applyFill="1" applyBorder="1" applyAlignment="1" applyProtection="1">
      <alignment horizontal="left"/>
      <protection locked="0"/>
    </xf>
    <xf numFmtId="170" fontId="51" fillId="4" borderId="192" xfId="18" applyNumberFormat="1" applyFont="1" applyFill="1" applyBorder="1" applyAlignment="1">
      <alignment horizontal="center" vertical="center" wrapText="1"/>
    </xf>
    <xf numFmtId="170" fontId="51" fillId="4" borderId="193" xfId="18" applyNumberFormat="1" applyFont="1" applyFill="1" applyBorder="1" applyAlignment="1">
      <alignment horizontal="center" vertical="center" wrapText="1"/>
    </xf>
    <xf numFmtId="170" fontId="51" fillId="4" borderId="194" xfId="18" applyNumberFormat="1" applyFont="1" applyFill="1" applyBorder="1" applyAlignment="1">
      <alignment horizontal="center" vertical="center" wrapText="1"/>
    </xf>
    <xf numFmtId="170" fontId="14" fillId="0" borderId="206" xfId="0" applyFont="1" applyBorder="1" applyAlignment="1" applyProtection="1">
      <alignment horizontal="left"/>
      <protection locked="0"/>
    </xf>
    <xf numFmtId="170" fontId="107" fillId="5" borderId="111" xfId="0" applyFont="1" applyFill="1" applyBorder="1" applyAlignment="1" applyProtection="1">
      <alignment horizontal="justify" vertical="top" wrapText="1"/>
      <protection locked="0"/>
    </xf>
    <xf numFmtId="170" fontId="107" fillId="5" borderId="110" xfId="0" applyFont="1" applyFill="1" applyBorder="1" applyAlignment="1" applyProtection="1">
      <alignment horizontal="justify" vertical="top" wrapText="1"/>
      <protection locked="0"/>
    </xf>
    <xf numFmtId="170" fontId="107" fillId="5" borderId="112" xfId="0" applyFont="1" applyFill="1" applyBorder="1" applyAlignment="1" applyProtection="1">
      <alignment horizontal="justify" vertical="top" wrapText="1"/>
      <protection locked="0"/>
    </xf>
    <xf numFmtId="170" fontId="107" fillId="5" borderId="113" xfId="0" applyFont="1" applyFill="1" applyBorder="1" applyAlignment="1" applyProtection="1">
      <alignment horizontal="justify" vertical="top" wrapText="1"/>
      <protection locked="0"/>
    </xf>
    <xf numFmtId="170" fontId="107" fillId="5" borderId="74" xfId="0" applyFont="1" applyFill="1" applyBorder="1" applyAlignment="1" applyProtection="1">
      <alignment horizontal="justify" vertical="top" wrapText="1"/>
      <protection locked="0"/>
    </xf>
    <xf numFmtId="170" fontId="107" fillId="5" borderId="76" xfId="0" applyFont="1" applyFill="1" applyBorder="1" applyAlignment="1" applyProtection="1">
      <alignment horizontal="justify" vertical="top" wrapText="1"/>
      <protection locked="0"/>
    </xf>
    <xf numFmtId="170" fontId="51" fillId="4" borderId="208" xfId="18" applyNumberFormat="1" applyFont="1" applyFill="1" applyBorder="1" applyAlignment="1">
      <alignment horizontal="center" vertical="center" wrapText="1"/>
    </xf>
    <xf numFmtId="170" fontId="14" fillId="0" borderId="196" xfId="0" applyFont="1" applyFill="1" applyBorder="1" applyAlignment="1" applyProtection="1">
      <alignment horizontal="left"/>
      <protection locked="0"/>
    </xf>
    <xf numFmtId="170" fontId="26" fillId="0" borderId="0" xfId="0" applyFont="1" applyAlignment="1">
      <alignment horizontal="center"/>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datelor'!$D$78</c:f>
              <c:strCache>
                <c:ptCount val="1"/>
                <c:pt idx="0">
                  <c:v>6</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datelor'!$D$78:$D$79</c:f>
              <c:numCache>
                <c:formatCode>[$$-409]#,##0_);\([$$-409]#,##0\)</c:formatCode>
                <c:ptCount val="2"/>
                <c:pt idx="0" formatCode="#,##0">
                  <c:v>6</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178150480"/>
        <c:axId val="178954400"/>
      </c:barChart>
      <c:catAx>
        <c:axId val="178150480"/>
        <c:scaling>
          <c:orientation val="minMax"/>
        </c:scaling>
        <c:delete val="1"/>
        <c:axPos val="l"/>
        <c:numFmt formatCode="General" sourceLinked="1"/>
        <c:majorTickMark val="out"/>
        <c:minorTickMark val="none"/>
        <c:tickLblPos val="none"/>
        <c:crossAx val="178954400"/>
        <c:crosses val="autoZero"/>
        <c:auto val="1"/>
        <c:lblAlgn val="ctr"/>
        <c:lblOffset val="100"/>
        <c:noMultiLvlLbl val="0"/>
      </c:catAx>
      <c:valAx>
        <c:axId val="178954400"/>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78150480"/>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datelor'!$C$83</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222346328"/>
        <c:axId val="222495256"/>
      </c:barChart>
      <c:catAx>
        <c:axId val="222346328"/>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222495256"/>
        <c:crosses val="autoZero"/>
        <c:auto val="0"/>
        <c:lblAlgn val="ctr"/>
        <c:lblOffset val="100"/>
        <c:tickMarkSkip val="1"/>
        <c:noMultiLvlLbl val="0"/>
      </c:catAx>
      <c:valAx>
        <c:axId val="222495256"/>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2346328"/>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datelor'!$D$70</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datelor'!$D$71:$D$72</c:f>
              <c:numCache>
                <c:formatCode>0</c:formatCode>
                <c:ptCount val="2"/>
                <c:pt idx="0">
                  <c:v>3</c:v>
                </c:pt>
              </c:numCache>
            </c:numRef>
          </c:val>
          <c:extLst>
            <c:ext xmlns:c16="http://schemas.microsoft.com/office/drawing/2014/chart" uri="{C3380CC4-5D6E-409C-BE32-E72D297353CC}">
              <c16:uniqueId val="{00000000-D08E-42FA-87E5-9BAD02454A53}"/>
            </c:ext>
          </c:extLst>
        </c:ser>
        <c:ser>
          <c:idx val="1"/>
          <c:order val="1"/>
          <c:tx>
            <c:strRef>
              <c:f>'Introducerea datelor'!$E$70</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datelor'!$E$71:$E$72</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datelor'!$F$70</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datelor'!$F$71:$F$72</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222496040"/>
        <c:axId val="222496432"/>
      </c:barChart>
      <c:catAx>
        <c:axId val="22249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496432"/>
        <c:crosses val="autoZero"/>
        <c:auto val="1"/>
        <c:lblAlgn val="ctr"/>
        <c:lblOffset val="100"/>
        <c:tickLblSkip val="1"/>
        <c:tickMarkSkip val="1"/>
        <c:noMultiLvlLbl val="0"/>
      </c:catAx>
      <c:valAx>
        <c:axId val="22249643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496040"/>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datelor'!$D$87</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datelor'!$D$88:$D$89</c:f>
              <c:numCache>
                <c:formatCode>0</c:formatCode>
                <c:ptCount val="2"/>
                <c:pt idx="0">
                  <c:v>0</c:v>
                </c:pt>
                <c:pt idx="1">
                  <c:v>3</c:v>
                </c:pt>
              </c:numCache>
            </c:numRef>
          </c:val>
          <c:extLst>
            <c:ext xmlns:c16="http://schemas.microsoft.com/office/drawing/2014/chart" uri="{C3380CC4-5D6E-409C-BE32-E72D297353CC}">
              <c16:uniqueId val="{00000000-0579-471F-8EB0-B16F21AC51C8}"/>
            </c:ext>
          </c:extLst>
        </c:ser>
        <c:ser>
          <c:idx val="2"/>
          <c:order val="1"/>
          <c:tx>
            <c:strRef>
              <c:f>'Introducerea datelor'!$E$87</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datelor'!$E$88:$E$89</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222497216"/>
        <c:axId val="222497608"/>
      </c:barChart>
      <c:catAx>
        <c:axId val="222497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22497608"/>
        <c:crosses val="autoZero"/>
        <c:auto val="1"/>
        <c:lblAlgn val="ctr"/>
        <c:lblOffset val="100"/>
        <c:noMultiLvlLbl val="0"/>
      </c:catAx>
      <c:valAx>
        <c:axId val="22249760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22497216"/>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datelor'!$B$97</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Cache>
                <c:formatCode>#,##0</c:formatCode>
                <c:ptCount val="12"/>
                <c:pt idx="0">
                  <c:v>2475363.62</c:v>
                </c:pt>
                <c:pt idx="1">
                  <c:v>2940729.23</c:v>
                </c:pt>
                <c:pt idx="2">
                  <c:v>3952426.75</c:v>
                </c:pt>
                <c:pt idx="3">
                  <c:v>4749319.49</c:v>
                </c:pt>
                <c:pt idx="4">
                  <c:v>7398576.8000000007</c:v>
                </c:pt>
                <c:pt idx="5">
                  <c:v>7398576.8000000007</c:v>
                </c:pt>
                <c:pt idx="6">
                  <c:v>7398576.8000000007</c:v>
                </c:pt>
                <c:pt idx="7">
                  <c:v>7398576.8000000007</c:v>
                </c:pt>
                <c:pt idx="8">
                  <c:v>7398576.8000000007</c:v>
                </c:pt>
                <c:pt idx="9">
                  <c:v>7398576.8000000007</c:v>
                </c:pt>
                <c:pt idx="10">
                  <c:v>7398576.8000000007</c:v>
                </c:pt>
                <c:pt idx="11">
                  <c:v>7398576.8000000007</c:v>
                </c:pt>
              </c:numCache>
            </c:numRef>
          </c:val>
          <c:smooth val="0"/>
          <c:extLst>
            <c:ext xmlns:c16="http://schemas.microsoft.com/office/drawing/2014/chart" uri="{C3380CC4-5D6E-409C-BE32-E72D297353CC}">
              <c16:uniqueId val="{00000000-C2BB-4102-AC1C-6C02FD33FD2D}"/>
            </c:ext>
          </c:extLst>
        </c:ser>
        <c:ser>
          <c:idx val="1"/>
          <c:order val="1"/>
          <c:tx>
            <c:strRef>
              <c:f>'Introducerea datelor'!$B$98</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Cache>
                <c:formatCode>#,##0</c:formatCode>
                <c:ptCount val="12"/>
                <c:pt idx="0">
                  <c:v>87919.039999999994</c:v>
                </c:pt>
                <c:pt idx="1">
                  <c:v>565154.68000000005</c:v>
                </c:pt>
                <c:pt idx="2">
                  <c:v>1730539.4700000002</c:v>
                </c:pt>
                <c:pt idx="3">
                  <c:v>2407167.42</c:v>
                </c:pt>
                <c:pt idx="4">
                  <c:v>5316420.55</c:v>
                </c:pt>
                <c:pt idx="5">
                  <c:v>5316420.55</c:v>
                </c:pt>
                <c:pt idx="6">
                  <c:v>5316420.55</c:v>
                </c:pt>
                <c:pt idx="7">
                  <c:v>5316420.55</c:v>
                </c:pt>
                <c:pt idx="8">
                  <c:v>5316420.55</c:v>
                </c:pt>
                <c:pt idx="9">
                  <c:v>5316420.55</c:v>
                </c:pt>
                <c:pt idx="10">
                  <c:v>5316420.55</c:v>
                </c:pt>
                <c:pt idx="11">
                  <c:v>5316420.55</c:v>
                </c:pt>
              </c:numCache>
            </c:numRef>
          </c:val>
          <c:smooth val="0"/>
          <c:extLst>
            <c:ext xmlns:c16="http://schemas.microsoft.com/office/drawing/2014/chart" uri="{C3380CC4-5D6E-409C-BE32-E72D297353CC}">
              <c16:uniqueId val="{00000001-C2BB-4102-AC1C-6C02FD33FD2D}"/>
            </c:ext>
          </c:extLst>
        </c:ser>
        <c:ser>
          <c:idx val="2"/>
          <c:order val="2"/>
          <c:tx>
            <c:strRef>
              <c:f>'Introducerea datelor'!$B$99</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Cache>
                <c:formatCode>#,##0</c:formatCode>
                <c:ptCount val="12"/>
                <c:pt idx="0">
                  <c:v>1387405.1</c:v>
                </c:pt>
                <c:pt idx="1">
                  <c:v>1852770.71</c:v>
                </c:pt>
                <c:pt idx="2">
                  <c:v>2864468.23</c:v>
                </c:pt>
                <c:pt idx="3">
                  <c:v>3831076.08</c:v>
                </c:pt>
                <c:pt idx="4">
                  <c:v>6217938.9700000007</c:v>
                </c:pt>
                <c:pt idx="5">
                  <c:v>6217938.9700000007</c:v>
                </c:pt>
                <c:pt idx="6">
                  <c:v>6217938.9700000007</c:v>
                </c:pt>
                <c:pt idx="7">
                  <c:v>6217938.9700000007</c:v>
                </c:pt>
                <c:pt idx="8">
                  <c:v>6217938.9700000007</c:v>
                </c:pt>
                <c:pt idx="9">
                  <c:v>6217938.9700000007</c:v>
                </c:pt>
                <c:pt idx="10">
                  <c:v>6217938.9700000007</c:v>
                </c:pt>
                <c:pt idx="11">
                  <c:v>6217938.9700000007</c:v>
                </c:pt>
              </c:numCache>
            </c:numRef>
          </c:val>
          <c:smooth val="0"/>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marker val="1"/>
        <c:smooth val="0"/>
        <c:axId val="222634392"/>
        <c:axId val="222634784"/>
      </c:lineChart>
      <c:catAx>
        <c:axId val="222634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22634784"/>
        <c:crosses val="autoZero"/>
        <c:auto val="1"/>
        <c:lblAlgn val="ctr"/>
        <c:lblOffset val="100"/>
        <c:tickLblSkip val="1"/>
        <c:tickMarkSkip val="1"/>
        <c:noMultiLvlLbl val="0"/>
      </c:catAx>
      <c:valAx>
        <c:axId val="2226347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22634392"/>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1725097.19</c:v>
                </c:pt>
                <c:pt idx="1">
                  <c:v>703324.68</c:v>
                </c:pt>
                <c:pt idx="2">
                  <c:v>1308125.3500000001</c:v>
                </c:pt>
                <c:pt idx="3">
                  <c:v>1031532.02</c:v>
                </c:pt>
                <c:pt idx="4">
                  <c:v>3189747.84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D1-4152-9514-D67916FCE0A9}"/>
            </c:ext>
          </c:extLst>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2488378</c:v>
                </c:pt>
                <c:pt idx="1">
                  <c:v>3863104</c:v>
                </c:pt>
                <c:pt idx="2">
                  <c:v>4443699</c:v>
                </c:pt>
                <c:pt idx="3">
                  <c:v>5340813</c:v>
                </c:pt>
                <c:pt idx="4">
                  <c:v>7919803.5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4D1-4152-9514-D67916FCE0A9}"/>
            </c:ext>
          </c:extLst>
        </c:ser>
        <c:dLbls>
          <c:showLegendKey val="0"/>
          <c:showVal val="0"/>
          <c:showCatName val="0"/>
          <c:showSerName val="0"/>
          <c:showPercent val="0"/>
          <c:showBubbleSize val="0"/>
        </c:dLbls>
        <c:gapWidth val="70"/>
        <c:axId val="222635568"/>
        <c:axId val="222635960"/>
      </c:barChart>
      <c:catAx>
        <c:axId val="22263556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22635960"/>
        <c:crosses val="autoZero"/>
        <c:auto val="1"/>
        <c:lblAlgn val="ctr"/>
        <c:lblOffset val="100"/>
        <c:tickLblSkip val="1"/>
        <c:tickMarkSkip val="1"/>
        <c:noMultiLvlLbl val="0"/>
      </c:catAx>
      <c:valAx>
        <c:axId val="222635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2263556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en-US"/>
          </a:p>
        </c:txPr>
      </c:legendEntry>
      <c:legendEntry>
        <c:idx val="1"/>
        <c:txPr>
          <a:bodyPr/>
          <a:lstStyle/>
          <a:p>
            <a:pPr>
              <a:defRPr sz="620" b="0" i="0" u="none" strike="noStrike" baseline="0">
                <a:solidFill>
                  <a:srgbClr val="000000"/>
                </a:solidFill>
                <a:latin typeface="Arial"/>
                <a:ea typeface="Arial"/>
                <a:cs typeface="Arial"/>
              </a:defRPr>
            </a:pPr>
            <a:endParaRPr lang="en-US"/>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datelor'!$C$51:$C$54</c:f>
              <c:numCache>
                <c:formatCode>#,##0</c:formatCode>
                <c:ptCount val="4"/>
                <c:pt idx="0">
                  <c:v>5340813</c:v>
                </c:pt>
                <c:pt idx="1">
                  <c:v>4723303.0199999996</c:v>
                </c:pt>
                <c:pt idx="2">
                  <c:v>121020.79</c:v>
                </c:pt>
                <c:pt idx="3">
                  <c:v>103779.32</c:v>
                </c:pt>
              </c:numCache>
            </c:numRef>
          </c:val>
          <c:extLst>
            <c:ext xmlns:c16="http://schemas.microsoft.com/office/drawing/2014/chart" uri="{C3380CC4-5D6E-409C-BE32-E72D297353CC}">
              <c16:uniqueId val="{00000000-C369-4708-87A9-A84FC531C4BE}"/>
            </c:ext>
          </c:extLst>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datelor'!$D$51:$D$54</c:f>
              <c:numCache>
                <c:formatCode>#,##0.00</c:formatCode>
                <c:ptCount val="4"/>
                <c:pt idx="0" formatCode="#,##0">
                  <c:v>2578990.5</c:v>
                </c:pt>
                <c:pt idx="1">
                  <c:v>2758833.41</c:v>
                </c:pt>
                <c:pt idx="2" formatCode="#,##0">
                  <c:v>27636.720000000001</c:v>
                </c:pt>
                <c:pt idx="3" formatCode="#,##0">
                  <c:v>36960.769999999997</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50"/>
        <c:overlap val="100"/>
        <c:axId val="222633608"/>
        <c:axId val="222633216"/>
      </c:barChart>
      <c:catAx>
        <c:axId val="222633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633216"/>
        <c:crossesAt val="0"/>
        <c:auto val="1"/>
        <c:lblAlgn val="ctr"/>
        <c:lblOffset val="100"/>
        <c:noMultiLvlLbl val="0"/>
      </c:catAx>
      <c:valAx>
        <c:axId val="22263321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226336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datelor'!$C$39:$C$42</c:f>
              <c:numCache>
                <c:formatCode>#,##0.00</c:formatCode>
                <c:ptCount val="4"/>
                <c:pt idx="0">
                  <c:v>2935429.52</c:v>
                </c:pt>
                <c:pt idx="1">
                  <c:v>4305986.92</c:v>
                </c:pt>
                <c:pt idx="2">
                  <c:v>275154.03999999998</c:v>
                </c:pt>
                <c:pt idx="3">
                  <c:v>441256.6</c:v>
                </c:pt>
              </c:numCache>
            </c:numRef>
          </c:val>
          <c:extLst>
            <c:ext xmlns:c16="http://schemas.microsoft.com/office/drawing/2014/chart" uri="{C3380CC4-5D6E-409C-BE32-E72D297353CC}">
              <c16:uniqueId val="{00000000-508A-4635-A6E2-88ADAD0856AB}"/>
            </c:ext>
          </c:extLst>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datelor'!$D$39:$D$42</c:f>
              <c:numCache>
                <c:formatCode>#,##0.00</c:formatCode>
                <c:ptCount val="4"/>
                <c:pt idx="0">
                  <c:v>2750565.91</c:v>
                </c:pt>
                <c:pt idx="1">
                  <c:v>4026737.65</c:v>
                </c:pt>
                <c:pt idx="2">
                  <c:v>229937.58</c:v>
                </c:pt>
                <c:pt idx="3">
                  <c:v>447509.94</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50"/>
        <c:axId val="222498392"/>
        <c:axId val="222952408"/>
      </c:barChart>
      <c:catAx>
        <c:axId val="222498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22952408"/>
        <c:crosses val="autoZero"/>
        <c:auto val="1"/>
        <c:lblAlgn val="ctr"/>
        <c:lblOffset val="100"/>
        <c:tickMarkSkip val="1"/>
        <c:noMultiLvlLbl val="0"/>
      </c:catAx>
      <c:valAx>
        <c:axId val="2229524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2249839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22</c:v>
                </c:pt>
                <c:pt idx="1">
                  <c:v>22</c:v>
                </c:pt>
                <c:pt idx="2">
                  <c:v>21.5</c:v>
                </c:pt>
                <c:pt idx="3">
                  <c:v>21.5</c:v>
                </c:pt>
                <c:pt idx="4">
                  <c:v>20.5</c:v>
                </c:pt>
              </c:numCache>
            </c:numRef>
          </c:val>
          <c:extLst>
            <c:ext xmlns:c16="http://schemas.microsoft.com/office/drawing/2014/chart" uri="{C3380CC4-5D6E-409C-BE32-E72D297353CC}">
              <c16:uniqueId val="{00000000-791A-4C17-AD1C-CF3323FDD685}"/>
            </c:ext>
          </c:extLst>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27.2</c:v>
                </c:pt>
                <c:pt idx="1">
                  <c:v>25.3</c:v>
                </c:pt>
                <c:pt idx="2">
                  <c:v>24.9</c:v>
                </c:pt>
                <c:pt idx="3">
                  <c:v>26.1</c:v>
                </c:pt>
                <c:pt idx="4">
                  <c:v>24.4</c:v>
                </c:pt>
              </c:numCache>
            </c:numRef>
          </c:val>
          <c:extLst>
            <c:ext xmlns:c16="http://schemas.microsoft.com/office/drawing/2014/chart" uri="{C3380CC4-5D6E-409C-BE32-E72D297353CC}">
              <c16:uniqueId val="{00000001-791A-4C17-AD1C-CF3323FDD685}"/>
            </c:ext>
          </c:extLst>
        </c:ser>
        <c:dLbls>
          <c:showLegendKey val="0"/>
          <c:showVal val="0"/>
          <c:showCatName val="0"/>
          <c:showSerName val="0"/>
          <c:showPercent val="0"/>
          <c:showBubbleSize val="0"/>
        </c:dLbls>
        <c:gapWidth val="150"/>
        <c:axId val="222634000"/>
        <c:axId val="222953584"/>
      </c:barChart>
      <c:catAx>
        <c:axId val="22263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22953584"/>
        <c:crosses val="autoZero"/>
        <c:auto val="1"/>
        <c:lblAlgn val="ctr"/>
        <c:lblOffset val="100"/>
        <c:tickLblSkip val="1"/>
        <c:tickMarkSkip val="1"/>
        <c:noMultiLvlLbl val="0"/>
      </c:catAx>
      <c:valAx>
        <c:axId val="2229535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22634000"/>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val>
            <c:numRef>
              <c:f>'Introducerea datelor'!$H$120:$S$120</c:f>
              <c:numCache>
                <c:formatCode>0.0</c:formatCode>
                <c:ptCount val="12"/>
                <c:pt idx="0">
                  <c:v>55</c:v>
                </c:pt>
                <c:pt idx="1">
                  <c:v>55</c:v>
                </c:pt>
                <c:pt idx="2">
                  <c:v>60</c:v>
                </c:pt>
                <c:pt idx="3">
                  <c:v>60</c:v>
                </c:pt>
                <c:pt idx="4">
                  <c:v>65</c:v>
                </c:pt>
              </c:numCache>
            </c:numRef>
          </c:val>
          <c:extLst>
            <c:ext xmlns:c16="http://schemas.microsoft.com/office/drawing/2014/chart" uri="{C3380CC4-5D6E-409C-BE32-E72D297353CC}">
              <c16:uniqueId val="{00000000-866E-4F6B-8290-1FAA0575BA4C}"/>
            </c:ext>
          </c:extLst>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val>
            <c:numRef>
              <c:f>'Introducerea datelor'!$H$121:$S$121</c:f>
              <c:numCache>
                <c:formatCode>0.0</c:formatCode>
                <c:ptCount val="12"/>
                <c:pt idx="0" formatCode="0.00">
                  <c:v>59</c:v>
                </c:pt>
                <c:pt idx="1">
                  <c:v>59</c:v>
                </c:pt>
                <c:pt idx="2">
                  <c:v>57.1</c:v>
                </c:pt>
                <c:pt idx="3">
                  <c:v>57.1</c:v>
                </c:pt>
                <c:pt idx="4">
                  <c:v>49.7</c:v>
                </c:pt>
              </c:numCache>
            </c:numRef>
          </c:val>
          <c:extLst>
            <c:ext xmlns:c16="http://schemas.microsoft.com/office/drawing/2014/chart" uri="{C3380CC4-5D6E-409C-BE32-E72D297353CC}">
              <c16:uniqueId val="{00000001-866E-4F6B-8290-1FAA0575BA4C}"/>
            </c:ext>
          </c:extLst>
        </c:ser>
        <c:dLbls>
          <c:showLegendKey val="0"/>
          <c:showVal val="0"/>
          <c:showCatName val="0"/>
          <c:showSerName val="0"/>
          <c:showPercent val="0"/>
          <c:showBubbleSize val="0"/>
        </c:dLbls>
        <c:gapWidth val="150"/>
        <c:axId val="222954368"/>
        <c:axId val="222954760"/>
      </c:barChart>
      <c:catAx>
        <c:axId val="22295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22954760"/>
        <c:crosses val="autoZero"/>
        <c:auto val="1"/>
        <c:lblAlgn val="ctr"/>
        <c:lblOffset val="100"/>
        <c:tickLblSkip val="1"/>
        <c:tickMarkSkip val="1"/>
        <c:noMultiLvlLbl val="0"/>
      </c:catAx>
      <c:valAx>
        <c:axId val="222954760"/>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22954368"/>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datelor'!$G$115</c:f>
              <c:strCache>
                <c:ptCount val="1"/>
              </c:strCache>
            </c:strRef>
          </c:tx>
          <c:spPr>
            <a:solidFill>
              <a:srgbClr val="0066CC"/>
            </a:solidFill>
            <a:ln w="25400">
              <a:noFill/>
            </a:ln>
          </c:spPr>
          <c:invertIfNegative val="0"/>
          <c:val>
            <c:numRef>
              <c:f>'Introducerea datelor'!$H$115:$S$115</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2B-4582-9A8A-380B2BFD7F61}"/>
            </c:ext>
          </c:extLst>
        </c:ser>
        <c:ser>
          <c:idx val="1"/>
          <c:order val="1"/>
          <c:tx>
            <c:strRef>
              <c:f>'Introducerea datelor'!$G$116</c:f>
              <c:strCache>
                <c:ptCount val="1"/>
                <c:pt idx="0">
                  <c:v>Ținta</c:v>
                </c:pt>
              </c:strCache>
            </c:strRef>
          </c:tx>
          <c:spPr>
            <a:solidFill>
              <a:srgbClr val="0070C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4D2B-4582-9A8A-380B2BFD7F61}"/>
              </c:ext>
            </c:extLst>
          </c:dPt>
          <c:val>
            <c:numRef>
              <c:f>'Introducerea datelor'!$H$116:$S$116</c:f>
              <c:numCache>
                <c:formatCode>0.0</c:formatCode>
                <c:ptCount val="12"/>
                <c:pt idx="0">
                  <c:v>10</c:v>
                </c:pt>
                <c:pt idx="1">
                  <c:v>10</c:v>
                </c:pt>
                <c:pt idx="2">
                  <c:v>9.3000000000000007</c:v>
                </c:pt>
                <c:pt idx="3">
                  <c:v>9.3000000000000007</c:v>
                </c:pt>
                <c:pt idx="4">
                  <c:v>8.6999999999999993</c:v>
                </c:pt>
              </c:numCache>
            </c:numRef>
          </c:val>
          <c:extLst>
            <c:ext xmlns:c16="http://schemas.microsoft.com/office/drawing/2014/chart" uri="{C3380CC4-5D6E-409C-BE32-E72D297353CC}">
              <c16:uniqueId val="{00000003-4D2B-4582-9A8A-380B2BFD7F61}"/>
            </c:ext>
          </c:extLst>
        </c:ser>
        <c:ser>
          <c:idx val="2"/>
          <c:order val="2"/>
          <c:tx>
            <c:strRef>
              <c:f>'Introducerea datelor'!$G$117</c:f>
              <c:strCache>
                <c:ptCount val="1"/>
                <c:pt idx="0">
                  <c:v>Rezultat</c:v>
                </c:pt>
              </c:strCache>
            </c:strRef>
          </c:tx>
          <c:spPr>
            <a:solidFill>
              <a:srgbClr val="00B0F0"/>
            </a:solidFill>
            <a:ln w="12700"/>
          </c:spPr>
          <c:invertIfNegative val="0"/>
          <c:dPt>
            <c:idx val="0"/>
            <c:invertIfNegative val="0"/>
            <c:bubble3D val="0"/>
            <c:spPr>
              <a:solidFill>
                <a:srgbClr val="00B0F0"/>
              </a:solidFill>
              <a:ln w="12700">
                <a:prstDash val="solid"/>
              </a:ln>
            </c:spPr>
            <c:extLst>
              <c:ext xmlns:c16="http://schemas.microsoft.com/office/drawing/2014/chart" uri="{C3380CC4-5D6E-409C-BE32-E72D297353CC}">
                <c16:uniqueId val="{00000005-4D2B-4582-9A8A-380B2BFD7F61}"/>
              </c:ext>
            </c:extLst>
          </c:dPt>
          <c:val>
            <c:numRef>
              <c:f>'Introducerea datelor'!$H$117:$S$117</c:f>
              <c:numCache>
                <c:formatCode>0.0</c:formatCode>
                <c:ptCount val="12"/>
                <c:pt idx="0" formatCode="0.00">
                  <c:v>9.9600000000000009</c:v>
                </c:pt>
                <c:pt idx="1">
                  <c:v>10.130000000000001</c:v>
                </c:pt>
                <c:pt idx="2">
                  <c:v>9.3000000000000007</c:v>
                </c:pt>
                <c:pt idx="3">
                  <c:v>9.1999999999999993</c:v>
                </c:pt>
                <c:pt idx="4">
                  <c:v>7.9</c:v>
                </c:pt>
              </c:numCache>
            </c:numRef>
          </c:val>
          <c:extLst>
            <c:ext xmlns:c16="http://schemas.microsoft.com/office/drawing/2014/chart" uri="{C3380CC4-5D6E-409C-BE32-E72D297353CC}">
              <c16:uniqueId val="{00000006-4D2B-4582-9A8A-380B2BFD7F61}"/>
            </c:ext>
          </c:extLst>
        </c:ser>
        <c:dLbls>
          <c:showLegendKey val="0"/>
          <c:showVal val="0"/>
          <c:showCatName val="0"/>
          <c:showSerName val="0"/>
          <c:showPercent val="0"/>
          <c:showBubbleSize val="0"/>
        </c:dLbls>
        <c:gapWidth val="150"/>
        <c:axId val="222955544"/>
        <c:axId val="222955936"/>
      </c:barChart>
      <c:catAx>
        <c:axId val="222955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22955936"/>
        <c:crosses val="autoZero"/>
        <c:auto val="1"/>
        <c:lblAlgn val="ctr"/>
        <c:lblOffset val="100"/>
        <c:tickLblSkip val="1"/>
        <c:tickMarkSkip val="1"/>
        <c:noMultiLvlLbl val="0"/>
      </c:catAx>
      <c:valAx>
        <c:axId val="2229559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22955544"/>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1725097.19</c:v>
                </c:pt>
                <c:pt idx="1">
                  <c:v>703324.68</c:v>
                </c:pt>
                <c:pt idx="2">
                  <c:v>1308125.3500000001</c:v>
                </c:pt>
                <c:pt idx="3">
                  <c:v>1031532.02</c:v>
                </c:pt>
                <c:pt idx="4">
                  <c:v>3189747.84</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2488378</c:v>
                </c:pt>
                <c:pt idx="1">
                  <c:v>3863104</c:v>
                </c:pt>
                <c:pt idx="2">
                  <c:v>4443699</c:v>
                </c:pt>
                <c:pt idx="3">
                  <c:v>5340813</c:v>
                </c:pt>
                <c:pt idx="4">
                  <c:v>7919803.5</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223054720"/>
        <c:axId val="223055112"/>
      </c:areaChart>
      <c:catAx>
        <c:axId val="22305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23055112"/>
        <c:crosses val="autoZero"/>
        <c:auto val="1"/>
        <c:lblAlgn val="ctr"/>
        <c:lblOffset val="100"/>
        <c:tickLblSkip val="8"/>
        <c:tickMarkSkip val="1"/>
        <c:noMultiLvlLbl val="0"/>
      </c:catAx>
      <c:valAx>
        <c:axId val="22305511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305472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iu!R1C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13125"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51225"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13125"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10</xdr:col>
      <xdr:colOff>764071</xdr:colOff>
      <xdr:row>20</xdr:row>
      <xdr:rowOff>38100</xdr:rowOff>
    </xdr:to>
    <xdr:grpSp>
      <xdr:nvGrpSpPr>
        <xdr:cNvPr id="1591155" name="Group 489">
          <a:extLst>
            <a:ext uri="{FF2B5EF4-FFF2-40B4-BE49-F238E27FC236}">
              <a16:creationId xmlns:a16="http://schemas.microsoft.com/office/drawing/2014/main" id="{00000000-0008-0000-0500-000073471800}"/>
            </a:ext>
          </a:extLst>
        </xdr:cNvPr>
        <xdr:cNvGrpSpPr>
          <a:grpSpLocks/>
        </xdr:cNvGrpSpPr>
      </xdr:nvGrpSpPr>
      <xdr:grpSpPr bwMode="auto">
        <a:xfrm>
          <a:off x="4145032" y="5800725"/>
          <a:ext cx="3228561" cy="2047875"/>
          <a:chOff x="414" y="213"/>
          <a:chExt cx="366" cy="250"/>
        </a:xfrm>
      </xdr:grpSpPr>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a:extLst>
              <a:ext uri="{FF2B5EF4-FFF2-40B4-BE49-F238E27FC236}">
                <a16:creationId xmlns:a16="http://schemas.microsoft.com/office/drawing/2014/main" id="{00000000-0008-0000-0500-00007847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a:extLst>
            <a:ext uri="{FF2B5EF4-FFF2-40B4-BE49-F238E27FC236}">
              <a16:creationId xmlns:a16="http://schemas.microsoft.com/office/drawing/2014/main" id="{00000000-0008-0000-0500-000074471800}"/>
            </a:ext>
          </a:extLst>
        </xdr:cNvPr>
        <xdr:cNvGrpSpPr>
          <a:grpSpLocks/>
        </xdr:cNvGrpSpPr>
      </xdr:nvGrpSpPr>
      <xdr:grpSpPr bwMode="auto">
        <a:xfrm>
          <a:off x="0" y="11615116"/>
          <a:ext cx="3961986" cy="2374624"/>
          <a:chOff x="0" y="505"/>
          <a:chExt cx="407" cy="255"/>
        </a:xfrm>
      </xdr:grpSpPr>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a:extLst>
              <a:ext uri="{FF2B5EF4-FFF2-40B4-BE49-F238E27FC236}">
                <a16:creationId xmlns:a16="http://schemas.microsoft.com/office/drawing/2014/main" id="{00000000-0008-0000-0500-0000764718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8" xr6:uid="{00000000-000C-0000-FFFF-FFFF2F000000}" r="C42" connectionId="0">
    <xmlCellPr id="1" xr6:uid="{00000000-0010-0000-2F00-000001000000}" uniqueName="1">
      <xmlPr mapId="43" xpath="/ns1:Root/ns1:F2/ns1:Environ__Community_TB_care__Cumulative_Budget__in___" xmlDataType="double"/>
    </xmlCellPr>
  </singleXmlCell>
  <singleXmlCell id="469" xr6:uid="{00000000-000C-0000-FFFF-FFFF30000000}" r="D42" connectionId="0">
    <xmlCellPr id="1" xr6:uid="{00000000-0010-0000-3000-000001000000}" uniqueName="1">
      <xmlPr mapId="43" xpath="/ns1:Root/ns1:F2/ns1:Environ__Community_TB_care__Cumulative_Expenditures__in___" xmlDataType="double"/>
    </xmlCellPr>
  </singleXmlCell>
  <singleXmlCell id="470" xr6:uid="{00000000-000C-0000-FFFF-FFFF31000000}" r="C43" connectionId="0">
    <xmlCellPr id="1" xr6:uid="{00000000-0010-0000-3100-000001000000}" uniqueName="1">
      <xmlPr mapId="43" xpath="/ns1:Root/ns1:F2/ns1:_Cumulative_Budget__in____1" xmlDataType="string"/>
    </xmlCellPr>
  </singleXmlCell>
  <singleXmlCell id="471" xr6:uid="{00000000-000C-0000-FFFF-FFFF32000000}" r="D43" connectionId="0">
    <xmlCellPr id="1" xr6:uid="{00000000-0010-0000-3200-000001000000}" uniqueName="1">
      <xmlPr mapId="43" xpath="/ns1:Root/ns1:F2/ns1:_Cumulative_Expenditures__in____1" xmlDataType="string"/>
    </xmlCellPr>
  </singleXmlCell>
  <singleXmlCell id="472" xr6:uid="{00000000-000C-0000-FFFF-FFFF33000000}" r="C44" connectionId="0">
    <xmlCellPr id="1" xr6:uid="{00000000-0010-0000-3300-000001000000}" uniqueName="1">
      <xmlPr mapId="43" xpath="/ns1:Root/ns1:F2/ns1:_Cumulative_Budget__in____2" xmlDataType="string"/>
    </xmlCellPr>
  </singleXmlCell>
  <singleXmlCell id="473" xr6:uid="{00000000-000C-0000-FFFF-FFFF34000000}" r="D44" connectionId="0">
    <xmlCellPr id="1" xr6:uid="{00000000-0010-0000-3400-000001000000}" uniqueName="1">
      <xmlPr mapId="43" xpath="/ns1:Root/ns1:F2/ns1:_Cumulative_Expenditures__in____2" xmlDataType="string"/>
    </xmlCellPr>
  </singleXmlCell>
  <singleXmlCell id="474" xr6:uid="{00000000-000C-0000-FFFF-FFFF35000000}" r="C45" connectionId="0">
    <xmlCellPr id="1" xr6:uid="{00000000-0010-0000-3500-000001000000}" uniqueName="1">
      <xmlPr mapId="43" xpath="/ns1:Root/ns1:F2/ns1:_Cumulative_Budget__in___" xmlDataType="string"/>
    </xmlCellPr>
  </singleXmlCell>
  <singleXmlCell id="475" xr6:uid="{00000000-000C-0000-FFFF-FFFF36000000}" r="D45" connectionId="0">
    <xmlCellPr id="1" xr6:uid="{00000000-0010-0000-3600-000001000000}" uniqueName="1">
      <xmlPr mapId="43" xpath="/ns1:Root/ns1:F2/ns1:_Cumulative_Expenditures__in___" xmlDataType="string"/>
    </xmlCellPr>
  </singleXmlCell>
  <singleXmlCell id="476" xr6:uid="{00000000-000C-0000-FFFF-FFFF37000000}" r="C51" connectionId="0">
    <xmlCellPr id="1" xr6:uid="{00000000-0010-0000-3700-000001000000}" uniqueName="1">
      <xmlPr mapId="43" xpath="/ns1:Root/ns1:F3/ns1:Disbursed_by_Global_Fund_Prior_to_reporting_period__in___" xmlDataType="double"/>
    </xmlCellPr>
  </singleXmlCell>
  <singleXmlCell id="477" xr6:uid="{00000000-000C-0000-FFFF-FFFF38000000}" r="D51" connectionId="0">
    <xmlCellPr id="1" xr6:uid="{00000000-0010-0000-3800-000001000000}" uniqueName="1">
      <xmlPr mapId="43" xpath="/ns1:Root/ns1:F3/ns1:Disbursed_by_Global_Fund_Reporting_period__in___" xmlDataType="double"/>
    </xmlCellPr>
  </singleXmlCell>
  <singleXmlCell id="478" xr6:uid="{00000000-000C-0000-FFFF-FFFF39000000}" r="C52"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2" connectionId="0">
    <xmlCellPr id="1" xr6:uid="{00000000-0010-0000-3A00-000001000000}" uniqueName="1">
      <xmlPr mapId="43" xpath="/ns1:Root/ns1:F3/ns1:PR_expenditure_and_disbursement_Reporting_period__in___" xmlDataType="double"/>
    </xmlCellPr>
  </singleXmlCell>
  <singleXmlCell id="480" xr6:uid="{00000000-000C-0000-FFFF-FFFF3B000000}" r="C53" connectionId="0">
    <xmlCellPr id="1" xr6:uid="{00000000-0010-0000-3B00-000001000000}" uniqueName="1">
      <xmlPr mapId="43" xpath="/ns1:Root/ns1:F3/ns1:Disbursed_to_SRs_Prior_to_reporting_period__in___" xmlDataType="double"/>
    </xmlCellPr>
  </singleXmlCell>
  <singleXmlCell id="481" xr6:uid="{00000000-000C-0000-FFFF-FFFF3C000000}" r="D53" connectionId="0">
    <xmlCellPr id="1" xr6:uid="{00000000-0010-0000-3C00-000001000000}" uniqueName="1">
      <xmlPr mapId="43" xpath="/ns1:Root/ns1:F3/ns1:Disbursed_to_SRs_Reporting_period__in___" xmlDataType="double"/>
    </xmlCellPr>
  </singleXmlCell>
  <singleXmlCell id="482" xr6:uid="{00000000-000C-0000-FFFF-FFFF3D000000}" r="C54" connectionId="0">
    <xmlCellPr id="1" xr6:uid="{00000000-0010-0000-3D00-000001000000}" uniqueName="1">
      <xmlPr mapId="43" xpath="/ns1:Root/ns1:F3/ns1:SR_expenditures_Prior_to_reporting_period__in___" xmlDataType="double"/>
    </xmlCellPr>
  </singleXmlCell>
  <singleXmlCell id="483" xr6:uid="{00000000-000C-0000-FFFF-FFFF3E000000}" r="D54" connectionId="0">
    <xmlCellPr id="1" xr6:uid="{00000000-0010-0000-3E00-000001000000}" uniqueName="1">
      <xmlPr mapId="43" xpath="/ns1:Root/ns1:F3/ns1:SR_expenditures_Reporting_period__in___" xmlDataType="double"/>
    </xmlCellPr>
  </singleXmlCell>
  <singleXmlCell id="484" xr6:uid="{00000000-000C-0000-FFFF-FFFF3F000000}" r="C61" connectionId="0">
    <xmlCellPr id="1" xr6:uid="{00000000-0010-0000-3F00-000001000000}" uniqueName="1">
      <xmlPr mapId="43" xpath="/ns1:Root/ns1:F4/ns1:Days_taken_to_submit_acceptable_PU_DR_to_LFA_Expected__days_" xmlDataType="double"/>
    </xmlCellPr>
  </singleXmlCell>
  <singleXmlCell id="485" xr6:uid="{00000000-000C-0000-FFFF-FFFF40000000}" r="D61" connectionId="0">
    <xmlCellPr id="1" xr6:uid="{00000000-0010-0000-4000-000001000000}" uniqueName="1">
      <xmlPr mapId="43" xpath="/ns1:Root/ns1:F4/ns1:Days_taken_to_submit_acceptable_PU_DR_to_LFA_Actual__days_" xmlDataType="double"/>
    </xmlCellPr>
  </singleXmlCell>
  <singleXmlCell id="486" xr6:uid="{00000000-000C-0000-FFFF-FFFF41000000}" r="C62" connectionId="0">
    <xmlCellPr id="1" xr6:uid="{00000000-0010-0000-4100-000001000000}" uniqueName="1">
      <xmlPr mapId="43" xpath="/ns1:Root/ns1:F4/ns1:Days_taken_for_disbursement_to_reach_PR_Expected__days_" xmlDataType="double"/>
    </xmlCellPr>
  </singleXmlCell>
  <singleXmlCell id="487" xr6:uid="{00000000-000C-0000-FFFF-FFFF42000000}" r="D62" connectionId="0">
    <xmlCellPr id="1" xr6:uid="{00000000-0010-0000-4200-000001000000}" uniqueName="1">
      <xmlPr mapId="43" xpath="/ns1:Root/ns1:F4/ns1:Days_taken_for_disbursement_to_reach_PR_Actual__days_" xmlDataType="double"/>
    </xmlCellPr>
  </singleXmlCell>
  <singleXmlCell id="488" xr6:uid="{00000000-000C-0000-FFFF-FFFF43000000}" r="C63" connectionId="0">
    <xmlCellPr id="1" xr6:uid="{00000000-0010-0000-4300-000001000000}" uniqueName="1">
      <xmlPr mapId="43" xpath="/ns1:Root/ns1:F4/ns1:Days_taken_for_disbursement_to_reach_SRs__Expected__days_" xmlDataType="double"/>
    </xmlCellPr>
  </singleXmlCell>
  <singleXmlCell id="489" xr6:uid="{00000000-000C-0000-FFFF-FFFF44000000}" r="D63" connectionId="0">
    <xmlCellPr id="1" xr6:uid="{00000000-0010-0000-4400-000001000000}" uniqueName="1">
      <xmlPr mapId="43" xpath="/ns1:Root/ns1:F4/ns1:Days_taken_for_disbursement_to_reach_SRs__Actual__days_" xmlDataType="double"/>
    </xmlCellPr>
  </singleXmlCell>
  <singleXmlCell id="490" xr6:uid="{00000000-000C-0000-FFFF-FFFF45000000}" r="B71" connectionId="0">
    <xmlCellPr id="1" xr6:uid="{00000000-0010-0000-4500-000001000000}" uniqueName="1">
      <xmlPr mapId="43" xpath="/ns1:Root/ns1:M1/ns1:Conditions_precedents__CPs__" xmlDataType="string"/>
    </xmlCellPr>
  </singleXmlCell>
  <singleXmlCell id="491" xr6:uid="{00000000-000C-0000-FFFF-FFFF46000000}" r="D71" connectionId="0">
    <xmlCellPr id="1" xr6:uid="{00000000-0010-0000-4600-000001000000}" uniqueName="1">
      <xmlPr mapId="43" xpath="/ns1:Root/ns1:M1/ns1:Conditions_precedents__CPs__Fulfilled" xmlDataType="double"/>
    </xmlCellPr>
  </singleXmlCell>
  <singleXmlCell id="492" xr6:uid="{00000000-000C-0000-FFFF-FFFF47000000}" r="E71"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1"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2" connectionId="0">
    <xmlCellPr id="1" xr6:uid="{00000000-0010-0000-4900-000001000000}" uniqueName="1">
      <xmlPr mapId="43" xpath="/ns1:Root/ns1:M1/ns1:Time_Bound_Actions__TBAs__" xmlDataType="string"/>
    </xmlCellPr>
  </singleXmlCell>
  <singleXmlCell id="495" xr6:uid="{00000000-000C-0000-FFFF-FFFF4A000000}" r="D72" connectionId="0">
    <xmlCellPr id="1" xr6:uid="{00000000-0010-0000-4A00-000001000000}" uniqueName="1">
      <xmlPr mapId="43" xpath="/ns1:Root/ns1:M1/ns1:Time_Bound_Actions__TBAs__Fulfilled" xmlDataType="double"/>
    </xmlCellPr>
  </singleXmlCell>
  <singleXmlCell id="496" xr6:uid="{00000000-000C-0000-FFFF-FFFF4B000000}" r="E72" connectionId="0">
    <xmlCellPr id="1" xr6:uid="{00000000-0010-0000-4B00-000001000000}" uniqueName="1">
      <xmlPr mapId="43" xpath="/ns1:Root/ns1:M1/ns1:Time_Bound_Actions__TBAs__Not_fulfilled__but_within_deadline" xmlDataType="string"/>
    </xmlCellPr>
  </singleXmlCell>
  <singleXmlCell id="497" xr6:uid="{00000000-000C-0000-FFFF-FFFF4C000000}" r="F72"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8" connectionId="0">
    <xmlCellPr id="1" xr6:uid="{00000000-0010-0000-4D00-000001000000}" uniqueName="1">
      <xmlPr mapId="43" xpath="/ns1:Root/ns1:M2/ns1:PMU_Planned" xmlDataType="double"/>
    </xmlCellPr>
  </singleXmlCell>
  <singleXmlCell id="499" xr6:uid="{00000000-000C-0000-FFFF-FFFF4E000000}" r="D78" connectionId="0">
    <xmlCellPr id="1" xr6:uid="{00000000-0010-0000-4E00-000001000000}" uniqueName="1">
      <xmlPr mapId="43" xpath="/ns1:Root/ns1:M2/ns1:PMU_Filled" xmlDataType="double"/>
    </xmlCellPr>
  </singleXmlCell>
  <singleXmlCell id="500" xr6:uid="{00000000-000C-0000-FFFF-FFFF4F000000}" r="C83" connectionId="0">
    <xmlCellPr id="1" xr6:uid="{00000000-0010-0000-4F00-000001000000}" uniqueName="1">
      <xmlPr mapId="43" xpath="/ns1:Root/ns1:M3/ns1:SRs_Identified" xmlDataType="double"/>
    </xmlCellPr>
  </singleXmlCell>
  <singleXmlCell id="501" xr6:uid="{00000000-000C-0000-FFFF-FFFF50000000}" r="D83" connectionId="0">
    <xmlCellPr id="1" xr6:uid="{00000000-0010-0000-5000-000001000000}" uniqueName="1">
      <xmlPr mapId="43" xpath="/ns1:Root/ns1:M3/ns1:SRs_Assessed" xmlDataType="double"/>
    </xmlCellPr>
  </singleXmlCell>
  <singleXmlCell id="502" xr6:uid="{00000000-000C-0000-FFFF-FFFF51000000}" r="E83" connectionId="0">
    <xmlCellPr id="1" xr6:uid="{00000000-0010-0000-5100-000001000000}" uniqueName="1">
      <xmlPr mapId="43" xpath="/ns1:Root/ns1:M3/ns1:SRs_Approved" xmlDataType="double"/>
    </xmlCellPr>
  </singleXmlCell>
  <singleXmlCell id="503" xr6:uid="{00000000-000C-0000-FFFF-FFFF52000000}" r="F83" connectionId="0">
    <xmlCellPr id="1" xr6:uid="{00000000-0010-0000-5200-000001000000}" uniqueName="1">
      <xmlPr mapId="43" xpath="/ns1:Root/ns1:M3/ns1:SRs_Signed" xmlDataType="double"/>
    </xmlCellPr>
  </singleXmlCell>
  <singleXmlCell id="504" xr6:uid="{00000000-000C-0000-FFFF-FFFF53000000}" r="G83" connectionId="0">
    <xmlCellPr id="1" xr6:uid="{00000000-0010-0000-5300-000001000000}" uniqueName="1">
      <xmlPr mapId="43" xpath="/ns1:Root/ns1:M3/ns1:SRs_Receiving_Funding" xmlDataType="double"/>
    </xmlCellPr>
  </singleXmlCell>
  <singleXmlCell id="506" xr6:uid="{00000000-000C-0000-FFFF-FFFF54000000}" r="C88" connectionId="0">
    <xmlCellPr id="1" xr6:uid="{00000000-0010-0000-5400-000001000000}" uniqueName="1">
      <xmlPr mapId="43" xpath="/ns1:Root/ns1:M4/ns1:SSR_to_SR__IR_____Expected" xmlDataType="string"/>
    </xmlCellPr>
  </singleXmlCell>
  <singleXmlCell id="507" xr6:uid="{00000000-000C-0000-FFFF-FFFF55000000}" r="D88" connectionId="0">
    <xmlCellPr id="1" xr6:uid="{00000000-0010-0000-5500-000001000000}" uniqueName="1">
      <xmlPr mapId="43" xpath="/ns1:Root/ns1:M4/ns1:SSR_to_SR__IR____Received" xmlDataType="string"/>
    </xmlCellPr>
  </singleXmlCell>
  <singleXmlCell id="509" xr6:uid="{00000000-000C-0000-FFFF-FFFF56000000}" r="C89" connectionId="0">
    <xmlCellPr id="1" xr6:uid="{00000000-0010-0000-5600-000001000000}" uniqueName="1">
      <xmlPr mapId="43" xpath="/ns1:Root/ns1:M4/ns1:SRs__IRs__to_PR____Expected" xmlDataType="double"/>
    </xmlCellPr>
  </singleXmlCell>
  <singleXmlCell id="510" xr6:uid="{00000000-000C-0000-FFFF-FFFF57000000}" r="D89" connectionId="0">
    <xmlCellPr id="1" xr6:uid="{00000000-0010-0000-5700-000001000000}" uniqueName="1">
      <xmlPr mapId="43" xpath="/ns1:Root/ns1:M4/ns1:SRs__IRs__to_PR___Received" xmlDataType="double"/>
    </xmlCellPr>
  </singleXmlCell>
  <singleXmlCell id="511" xr6:uid="{00000000-000C-0000-FFFF-FFFF58000000}" r="C94" connectionId="0">
    <xmlCellPr id="1" xr6:uid="{00000000-0010-0000-5800-000001000000}" uniqueName="1">
      <xmlPr mapId="43" xpath="/ns1:Root/ns1:M5/ns1:Budget_Approved__P1" xmlDataType="double"/>
    </xmlCellPr>
  </singleXmlCell>
  <singleXmlCell id="512" xr6:uid="{00000000-000C-0000-FFFF-FFFF59000000}" r="D94" connectionId="0">
    <xmlCellPr id="1" xr6:uid="{00000000-0010-0000-5900-000001000000}" uniqueName="1">
      <xmlPr mapId="43" xpath="/ns1:Root/ns1:M5/ns1:Budget_Approved__P2" xmlDataType="double"/>
    </xmlCellPr>
  </singleXmlCell>
  <singleXmlCell id="513" xr6:uid="{00000000-000C-0000-FFFF-FFFF5A000000}" r="E94" connectionId="0">
    <xmlCellPr id="1" xr6:uid="{00000000-0010-0000-5A00-000001000000}" uniqueName="1">
      <xmlPr mapId="43" xpath="/ns1:Root/ns1:M5/ns1:Budget_Approved__P3" xmlDataType="double"/>
    </xmlCellPr>
  </singleXmlCell>
  <singleXmlCell id="514" xr6:uid="{00000000-000C-0000-FFFF-FFFF5B000000}" r="F94" connectionId="0">
    <xmlCellPr id="1" xr6:uid="{00000000-0010-0000-5B00-000001000000}" uniqueName="1">
      <xmlPr mapId="43" xpath="/ns1:Root/ns1:M5/ns1:Budget_Approved__P4" xmlDataType="double"/>
    </xmlCellPr>
  </singleXmlCell>
  <singleXmlCell id="515" xr6:uid="{00000000-000C-0000-FFFF-FFFF5C000000}" r="G94" connectionId="0">
    <xmlCellPr id="1" xr6:uid="{00000000-0010-0000-5C00-000001000000}" uniqueName="1">
      <xmlPr mapId="43" xpath="/ns1:Root/ns1:M5/ns1:Budget_Approved__P5" xmlDataType="double"/>
    </xmlCellPr>
  </singleXmlCell>
  <singleXmlCell id="516" xr6:uid="{00000000-000C-0000-FFFF-FFFF5D000000}" r="H94" connectionId="0">
    <xmlCellPr id="1" xr6:uid="{00000000-0010-0000-5D00-000001000000}" uniqueName="1">
      <xmlPr mapId="43" xpath="/ns1:Root/ns1:M5/ns1:Budget_Approved__P6" xmlDataType="double"/>
    </xmlCellPr>
  </singleXmlCell>
  <singleXmlCell id="517" xr6:uid="{00000000-000C-0000-FFFF-FFFF5E000000}" r="I94" connectionId="0">
    <xmlCellPr id="1" xr6:uid="{00000000-0010-0000-5E00-000001000000}" uniqueName="1">
      <xmlPr mapId="43" xpath="/ns1:Root/ns1:M5/ns1:Budget_Approved__P7" xmlDataType="double"/>
    </xmlCellPr>
  </singleXmlCell>
  <singleXmlCell id="518" xr6:uid="{00000000-000C-0000-FFFF-FFFF5F000000}" r="J94" connectionId="0">
    <xmlCellPr id="1" xr6:uid="{00000000-0010-0000-5F00-000001000000}" uniqueName="1">
      <xmlPr mapId="43" xpath="/ns1:Root/ns1:M5/ns1:Budget_Approved__P8" xmlDataType="double"/>
    </xmlCellPr>
  </singleXmlCell>
  <singleXmlCell id="519" xr6:uid="{00000000-000C-0000-FFFF-FFFF60000000}" r="K94" connectionId="0">
    <xmlCellPr id="1" xr6:uid="{00000000-0010-0000-6000-000001000000}" uniqueName="1">
      <xmlPr mapId="43" xpath="/ns1:Root/ns1:M5/ns1:Budget_Approved__P9" xmlDataType="double"/>
    </xmlCellPr>
  </singleXmlCell>
  <singleXmlCell id="520" xr6:uid="{00000000-000C-0000-FFFF-FFFF61000000}" r="L94" connectionId="0">
    <xmlCellPr id="1" xr6:uid="{00000000-0010-0000-6100-000001000000}" uniqueName="1">
      <xmlPr mapId="43" xpath="/ns1:Root/ns1:M5/ns1:Budget_Approved__P10" xmlDataType="double"/>
    </xmlCellPr>
  </singleXmlCell>
  <singleXmlCell id="521" xr6:uid="{00000000-000C-0000-FFFF-FFFF62000000}" r="M94" connectionId="0">
    <xmlCellPr id="1" xr6:uid="{00000000-0010-0000-6200-000001000000}" uniqueName="1">
      <xmlPr mapId="43" xpath="/ns1:Root/ns1:M5/ns1:Budget_Approved__P11" xmlDataType="double"/>
    </xmlCellPr>
  </singleXmlCell>
  <singleXmlCell id="522" xr6:uid="{00000000-000C-0000-FFFF-FFFF63000000}" r="N94" connectionId="0">
    <xmlCellPr id="1" xr6:uid="{00000000-0010-0000-6300-000001000000}" uniqueName="1">
      <xmlPr mapId="43" xpath="/ns1:Root/ns1:M5/ns1:Budget_Approved__P12" xmlDataType="double"/>
    </xmlCellPr>
  </singleXmlCell>
  <singleXmlCell id="523" xr6:uid="{00000000-000C-0000-FFFF-FFFF64000000}" r="C95" connectionId="0">
    <xmlCellPr id="1" xr6:uid="{00000000-0010-0000-6400-000001000000}" uniqueName="1">
      <xmlPr mapId="43" xpath="/ns1:Root/ns1:M5/ns1:Obligations_P1" xmlDataType="double"/>
    </xmlCellPr>
  </singleXmlCell>
  <singleXmlCell id="524" xr6:uid="{00000000-000C-0000-FFFF-FFFF65000000}" r="D95" connectionId="0">
    <xmlCellPr id="1" xr6:uid="{00000000-0010-0000-6500-000001000000}" uniqueName="1">
      <xmlPr mapId="43" xpath="/ns1:Root/ns1:M5/ns1:Obligations_P2" xmlDataType="double"/>
    </xmlCellPr>
  </singleXmlCell>
  <singleXmlCell id="525" xr6:uid="{00000000-000C-0000-FFFF-FFFF66000000}" r="E95" connectionId="0">
    <xmlCellPr id="1" xr6:uid="{00000000-0010-0000-6600-000001000000}" uniqueName="1">
      <xmlPr mapId="43" xpath="/ns1:Root/ns1:M5/ns1:Obligations_P3" xmlDataType="double"/>
    </xmlCellPr>
  </singleXmlCell>
  <singleXmlCell id="526" xr6:uid="{00000000-000C-0000-FFFF-FFFF67000000}" r="F95" connectionId="0">
    <xmlCellPr id="1" xr6:uid="{00000000-0010-0000-6700-000001000000}" uniqueName="1">
      <xmlPr mapId="43" xpath="/ns1:Root/ns1:M5/ns1:Obligations_P4" xmlDataType="double"/>
    </xmlCellPr>
  </singleXmlCell>
  <singleXmlCell id="527" xr6:uid="{00000000-000C-0000-FFFF-FFFF68000000}" r="G95" connectionId="0">
    <xmlCellPr id="1" xr6:uid="{00000000-0010-0000-6800-000001000000}" uniqueName="1">
      <xmlPr mapId="43" xpath="/ns1:Root/ns1:M5/ns1:Obligations_P5" xmlDataType="double"/>
    </xmlCellPr>
  </singleXmlCell>
  <singleXmlCell id="528" xr6:uid="{00000000-000C-0000-FFFF-FFFF69000000}" r="H95" connectionId="0">
    <xmlCellPr id="1" xr6:uid="{00000000-0010-0000-6900-000001000000}" uniqueName="1">
      <xmlPr mapId="43" xpath="/ns1:Root/ns1:M5/ns1:Obligations_P6" xmlDataType="double"/>
    </xmlCellPr>
  </singleXmlCell>
  <singleXmlCell id="529" xr6:uid="{00000000-000C-0000-FFFF-FFFF6A000000}" r="I95" connectionId="0">
    <xmlCellPr id="1" xr6:uid="{00000000-0010-0000-6A00-000001000000}" uniqueName="1">
      <xmlPr mapId="43" xpath="/ns1:Root/ns1:M5/ns1:Obligations_P7" xmlDataType="double"/>
    </xmlCellPr>
  </singleXmlCell>
  <singleXmlCell id="530" xr6:uid="{00000000-000C-0000-FFFF-FFFF6B000000}" r="J95" connectionId="0">
    <xmlCellPr id="1" xr6:uid="{00000000-0010-0000-6B00-000001000000}" uniqueName="1">
      <xmlPr mapId="43" xpath="/ns1:Root/ns1:M5/ns1:Obligations_P8" xmlDataType="double"/>
    </xmlCellPr>
  </singleXmlCell>
  <singleXmlCell id="531" xr6:uid="{00000000-000C-0000-FFFF-FFFF6C000000}" r="K95" connectionId="0">
    <xmlCellPr id="1" xr6:uid="{00000000-0010-0000-6C00-000001000000}" uniqueName="1">
      <xmlPr mapId="43" xpath="/ns1:Root/ns1:M5/ns1:Obligations_P9" xmlDataType="double"/>
    </xmlCellPr>
  </singleXmlCell>
  <singleXmlCell id="532" xr6:uid="{00000000-000C-0000-FFFF-FFFF6D000000}" r="L95" connectionId="0">
    <xmlCellPr id="1" xr6:uid="{00000000-0010-0000-6D00-000001000000}" uniqueName="1">
      <xmlPr mapId="43" xpath="/ns1:Root/ns1:M5/ns1:Obligations_P10" xmlDataType="double"/>
    </xmlCellPr>
  </singleXmlCell>
  <singleXmlCell id="533" xr6:uid="{00000000-000C-0000-FFFF-FFFF6E000000}" r="M95" connectionId="0">
    <xmlCellPr id="1" xr6:uid="{00000000-0010-0000-6E00-000001000000}" uniqueName="1">
      <xmlPr mapId="43" xpath="/ns1:Root/ns1:M5/ns1:Obligations_P11" xmlDataType="double"/>
    </xmlCellPr>
  </singleXmlCell>
  <singleXmlCell id="534" xr6:uid="{00000000-000C-0000-FFFF-FFFF6F000000}" r="N95" connectionId="0">
    <xmlCellPr id="1" xr6:uid="{00000000-0010-0000-6F00-000001000000}" uniqueName="1">
      <xmlPr mapId="43" xpath="/ns1:Root/ns1:M5/ns1:Obligations_P12" xmlDataType="double"/>
    </xmlCellPr>
  </singleXmlCell>
  <singleXmlCell id="535" xr6:uid="{00000000-000C-0000-FFFF-FFFF70000000}" r="C96" connectionId="0">
    <xmlCellPr id="1" xr6:uid="{00000000-0010-0000-7000-000001000000}" uniqueName="1">
      <xmlPr mapId="43" xpath="/ns1:Root/ns1:M5/ns1:Expenditures_P1" xmlDataType="double"/>
    </xmlCellPr>
  </singleXmlCell>
  <singleXmlCell id="536" xr6:uid="{00000000-000C-0000-FFFF-FFFF71000000}" r="D96" connectionId="0">
    <xmlCellPr id="1" xr6:uid="{00000000-0010-0000-7100-000001000000}" uniqueName="1">
      <xmlPr mapId="43" xpath="/ns1:Root/ns1:M5/ns1:Expenditures_P2" xmlDataType="double"/>
    </xmlCellPr>
  </singleXmlCell>
  <singleXmlCell id="537" xr6:uid="{00000000-000C-0000-FFFF-FFFF72000000}" r="E96" connectionId="0">
    <xmlCellPr id="1" xr6:uid="{00000000-0010-0000-7200-000001000000}" uniqueName="1">
      <xmlPr mapId="43" xpath="/ns1:Root/ns1:M5/ns1:Expenditures_P3" xmlDataType="double"/>
    </xmlCellPr>
  </singleXmlCell>
  <singleXmlCell id="538" xr6:uid="{00000000-000C-0000-FFFF-FFFF73000000}" r="F96" connectionId="0">
    <xmlCellPr id="1" xr6:uid="{00000000-0010-0000-7300-000001000000}" uniqueName="1">
      <xmlPr mapId="43" xpath="/ns1:Root/ns1:M5/ns1:Expenditures_P4" xmlDataType="double"/>
    </xmlCellPr>
  </singleXmlCell>
  <singleXmlCell id="539" xr6:uid="{00000000-000C-0000-FFFF-FFFF74000000}" r="G96" connectionId="0">
    <xmlCellPr id="1" xr6:uid="{00000000-0010-0000-7400-000001000000}" uniqueName="1">
      <xmlPr mapId="43" xpath="/ns1:Root/ns1:M5/ns1:Expenditures_P5" xmlDataType="double"/>
    </xmlCellPr>
  </singleXmlCell>
  <singleXmlCell id="540" xr6:uid="{00000000-000C-0000-FFFF-FFFF75000000}" r="H96" connectionId="0">
    <xmlCellPr id="1" xr6:uid="{00000000-0010-0000-7500-000001000000}" uniqueName="1">
      <xmlPr mapId="43" xpath="/ns1:Root/ns1:M5/ns1:Expenditures_P6" xmlDataType="double"/>
    </xmlCellPr>
  </singleXmlCell>
  <singleXmlCell id="541" xr6:uid="{00000000-000C-0000-FFFF-FFFF76000000}" r="I96" connectionId="0">
    <xmlCellPr id="1" xr6:uid="{00000000-0010-0000-7600-000001000000}" uniqueName="1">
      <xmlPr mapId="43" xpath="/ns1:Root/ns1:M5/ns1:Expenditures_P7" xmlDataType="double"/>
    </xmlCellPr>
  </singleXmlCell>
  <singleXmlCell id="542" xr6:uid="{00000000-000C-0000-FFFF-FFFF77000000}" r="J96" connectionId="0">
    <xmlCellPr id="1" xr6:uid="{00000000-0010-0000-7700-000001000000}" uniqueName="1">
      <xmlPr mapId="43" xpath="/ns1:Root/ns1:M5/ns1:Expenditures_P8" xmlDataType="double"/>
    </xmlCellPr>
  </singleXmlCell>
  <singleXmlCell id="543" xr6:uid="{00000000-000C-0000-FFFF-FFFF78000000}" r="K96" connectionId="0">
    <xmlCellPr id="1" xr6:uid="{00000000-0010-0000-7800-000001000000}" uniqueName="1">
      <xmlPr mapId="43" xpath="/ns1:Root/ns1:M5/ns1:Expenditures_P9" xmlDataType="double"/>
    </xmlCellPr>
  </singleXmlCell>
  <singleXmlCell id="544" xr6:uid="{00000000-000C-0000-FFFF-FFFF79000000}" r="L96" connectionId="0">
    <xmlCellPr id="1" xr6:uid="{00000000-0010-0000-7900-000001000000}" uniqueName="1">
      <xmlPr mapId="43" xpath="/ns1:Root/ns1:M5/ns1:Expenditures_P10" xmlDataType="double"/>
    </xmlCellPr>
  </singleXmlCell>
  <singleXmlCell id="545" xr6:uid="{00000000-000C-0000-FFFF-FFFF7A000000}" r="M96" connectionId="0">
    <xmlCellPr id="1" xr6:uid="{00000000-0010-0000-7A00-000001000000}" uniqueName="1">
      <xmlPr mapId="43" xpath="/ns1:Root/ns1:M5/ns1:Expenditures_P11" xmlDataType="double"/>
    </xmlCellPr>
  </singleXmlCell>
  <singleXmlCell id="546" xr6:uid="{00000000-000C-0000-FFFF-FFFF7B000000}" r="N96" connectionId="0">
    <xmlCellPr id="1" xr6:uid="{00000000-0010-0000-7B00-000001000000}" uniqueName="1">
      <xmlPr mapId="43" xpath="/ns1:Root/ns1:M5/ns1:Expenditures_P12" xmlDataType="double"/>
    </xmlCellPr>
  </singleXmlCell>
  <singleXmlCell id="547" xr6:uid="{00000000-000C-0000-FFFF-FFFF7C000000}" r="C107" connectionId="0">
    <xmlCellPr id="1" xr6:uid="{00000000-0010-0000-7C00-000001000000}" uniqueName="1">
      <xmlPr mapId="43" xpath="/ns1:Root/ns1:M6/ns1:HIV___AIDS_Products" xmlDataType="string"/>
    </xmlCellPr>
  </singleXmlCell>
  <singleXmlCell id="548" xr6:uid="{00000000-000C-0000-FFFF-FFFF7D000000}" r="D107"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7" connectionId="0">
    <xmlCellPr id="1" xr6:uid="{00000000-0010-0000-7E00-000001000000}" uniqueName="1">
      <xmlPr mapId="43" xpath="/ns1:Root/ns1:M6/ns1:HIV___AIDS__3__Total_patients_in_treatment" xmlDataType="double"/>
    </xmlCellPr>
  </singleXmlCell>
  <singleXmlCell id="550" xr6:uid="{00000000-000C-0000-FFFF-FFFF7F000000}" r="H107"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7"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8" connectionId="0">
    <xmlCellPr id="1" xr6:uid="{00000000-0010-0000-8100-000001000000}" uniqueName="1">
      <xmlPr mapId="43" xpath="/ns1:Root/ns1:M6/ns1:_Products_1" xmlDataType="string"/>
    </xmlCellPr>
  </singleXmlCell>
  <singleXmlCell id="553" xr6:uid="{00000000-000C-0000-FFFF-FFFF82000000}" r="D108"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8" connectionId="0">
    <xmlCellPr id="1" xr6:uid="{00000000-0010-0000-8300-000001000000}" uniqueName="1">
      <xmlPr mapId="43" xpath="/ns1:Root/ns1:M6/ns1:__3__Total_patients_in_treatment_1" xmlDataType="double"/>
    </xmlCellPr>
  </singleXmlCell>
  <singleXmlCell id="555" xr6:uid="{00000000-000C-0000-FFFF-FFFF84000000}" r="H108"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8"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09" connectionId="0">
    <xmlCellPr id="1" xr6:uid="{00000000-0010-0000-8600-000001000000}" uniqueName="1">
      <xmlPr mapId="43" xpath="/ns1:Root/ns1:M6/ns1:_Products_2" xmlDataType="string"/>
    </xmlCellPr>
  </singleXmlCell>
  <singleXmlCell id="558" xr6:uid="{00000000-000C-0000-FFFF-FFFF87000000}" r="D109"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09" connectionId="0">
    <xmlCellPr id="1" xr6:uid="{00000000-0010-0000-8800-000001000000}" uniqueName="1">
      <xmlPr mapId="43" xpath="/ns1:Root/ns1:M6/ns1:__3__Total_patients_in_treatment_2" xmlDataType="double"/>
    </xmlCellPr>
  </singleXmlCell>
  <singleXmlCell id="560" xr6:uid="{00000000-000C-0000-FFFF-FFFF89000000}" r="H109"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09"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0" connectionId="0">
    <xmlCellPr id="1" xr6:uid="{00000000-0010-0000-8B00-000001000000}" uniqueName="1">
      <xmlPr mapId="43" xpath="/ns1:Root/ns1:M6/ns1:_Products" xmlDataType="string"/>
    </xmlCellPr>
  </singleXmlCell>
  <singleXmlCell id="563" xr6:uid="{00000000-000C-0000-FFFF-FFFF8C000000}" r="D110"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0" connectionId="0">
    <xmlCellPr id="1" xr6:uid="{00000000-0010-0000-8D00-000001000000}" uniqueName="1">
      <xmlPr mapId="43" xpath="/ns1:Root/ns1:M6/ns1:__3__Total_patients_in_treatment" xmlDataType="double"/>
    </xmlCellPr>
  </singleXmlCell>
  <singleXmlCell id="565" xr6:uid="{00000000-000C-0000-FFFF-FFFF8E000000}" r="H110"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0"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6" connectionId="0">
    <xmlCellPr id="1" xr6:uid="{00000000-0010-0000-9000-000001000000}" uniqueName="1">
      <xmlPr mapId="43" xpath="/ns1:Root/ns1:Prog/ns1:Target_P1_1" xmlDataType="double"/>
    </xmlCellPr>
  </singleXmlCell>
  <singleXmlCell id="568" xr6:uid="{00000000-000C-0000-FFFF-FFFF91000000}" r="I116" connectionId="0">
    <xmlCellPr id="1" xr6:uid="{00000000-0010-0000-9100-000001000000}" uniqueName="1">
      <xmlPr mapId="43" xpath="/ns1:Root/ns1:Prog/ns1:Target_P2_1" xmlDataType="double"/>
    </xmlCellPr>
  </singleXmlCell>
  <singleXmlCell id="569" xr6:uid="{00000000-000C-0000-FFFF-FFFF92000000}" r="J116" connectionId="0">
    <xmlCellPr id="1" xr6:uid="{00000000-0010-0000-9200-000001000000}" uniqueName="1">
      <xmlPr mapId="43" xpath="/ns1:Root/ns1:Prog/ns1:Target_P3_1" xmlDataType="double"/>
    </xmlCellPr>
  </singleXmlCell>
  <singleXmlCell id="570" xr6:uid="{00000000-000C-0000-FFFF-FFFF93000000}" r="K116" connectionId="0">
    <xmlCellPr id="1" xr6:uid="{00000000-0010-0000-9300-000001000000}" uniqueName="1">
      <xmlPr mapId="43" xpath="/ns1:Root/ns1:Prog/ns1:Target_P4_1" xmlDataType="double"/>
    </xmlCellPr>
  </singleXmlCell>
  <singleXmlCell id="571" xr6:uid="{00000000-000C-0000-FFFF-FFFF94000000}" r="L116" connectionId="0">
    <xmlCellPr id="1" xr6:uid="{00000000-0010-0000-9400-000001000000}" uniqueName="1">
      <xmlPr mapId="43" xpath="/ns1:Root/ns1:Prog/ns1:Target_P5_1" xmlDataType="double"/>
    </xmlCellPr>
  </singleXmlCell>
  <singleXmlCell id="572" xr6:uid="{00000000-000C-0000-FFFF-FFFF95000000}" r="M116" connectionId="0">
    <xmlCellPr id="1" xr6:uid="{00000000-0010-0000-9500-000001000000}" uniqueName="1">
      <xmlPr mapId="43" xpath="/ns1:Root/ns1:Prog/ns1:Target_P6_1" xmlDataType="double"/>
    </xmlCellPr>
  </singleXmlCell>
  <singleXmlCell id="573" xr6:uid="{00000000-000C-0000-FFFF-FFFF96000000}" r="N116" connectionId="0">
    <xmlCellPr id="1" xr6:uid="{00000000-0010-0000-9600-000001000000}" uniqueName="1">
      <xmlPr mapId="43" xpath="/ns1:Root/ns1:Prog/ns1:Target_P7_1" xmlDataType="double"/>
    </xmlCellPr>
  </singleXmlCell>
  <singleXmlCell id="574" xr6:uid="{00000000-000C-0000-FFFF-FFFF97000000}" r="O116" connectionId="0">
    <xmlCellPr id="1" xr6:uid="{00000000-0010-0000-9700-000001000000}" uniqueName="1">
      <xmlPr mapId="43" xpath="/ns1:Root/ns1:Prog/ns1:Target_P8_1" xmlDataType="double"/>
    </xmlCellPr>
  </singleXmlCell>
  <singleXmlCell id="575" xr6:uid="{00000000-000C-0000-FFFF-FFFF98000000}" r="P116" connectionId="0">
    <xmlCellPr id="1" xr6:uid="{00000000-0010-0000-9800-000001000000}" uniqueName="1">
      <xmlPr mapId="43" xpath="/ns1:Root/ns1:Prog/ns1:Target_P9_1" xmlDataType="double"/>
    </xmlCellPr>
  </singleXmlCell>
  <singleXmlCell id="576" xr6:uid="{00000000-000C-0000-FFFF-FFFF99000000}" r="Q116" connectionId="0">
    <xmlCellPr id="1" xr6:uid="{00000000-0010-0000-9900-000001000000}" uniqueName="1">
      <xmlPr mapId="43" xpath="/ns1:Root/ns1:Prog/ns1:Target_P10_1" xmlDataType="double"/>
    </xmlCellPr>
  </singleXmlCell>
  <singleXmlCell id="577" xr6:uid="{00000000-000C-0000-FFFF-FFFF9A000000}" r="R116" connectionId="0">
    <xmlCellPr id="1" xr6:uid="{00000000-0010-0000-9A00-000001000000}" uniqueName="1">
      <xmlPr mapId="43" xpath="/ns1:Root/ns1:Prog/ns1:Target_P11_1" xmlDataType="double"/>
    </xmlCellPr>
  </singleXmlCell>
  <singleXmlCell id="578" xr6:uid="{00000000-000C-0000-FFFF-FFFF9B000000}" r="S116" connectionId="0">
    <xmlCellPr id="1" xr6:uid="{00000000-0010-0000-9B00-000001000000}" uniqueName="1">
      <xmlPr mapId="43" xpath="/ns1:Root/ns1:Prog/ns1:Target_P12_1" xmlDataType="double"/>
    </xmlCellPr>
  </singleXmlCell>
  <singleXmlCell id="579" xr6:uid="{00000000-000C-0000-FFFF-FFFF9C000000}" r="H117" connectionId="0">
    <xmlCellPr id="1" xr6:uid="{00000000-0010-0000-9C00-000001000000}" uniqueName="1">
      <xmlPr mapId="43" xpath="/ns1:Root/ns1:Prog/ns1:Achieved__P1_1" xmlDataType="double"/>
    </xmlCellPr>
  </singleXmlCell>
  <singleXmlCell id="580" xr6:uid="{00000000-000C-0000-FFFF-FFFF9D000000}" r="I117" connectionId="0">
    <xmlCellPr id="1" xr6:uid="{00000000-0010-0000-9D00-000001000000}" uniqueName="1">
      <xmlPr mapId="43" xpath="/ns1:Root/ns1:Prog/ns1:Achieved__P2_1" xmlDataType="double"/>
    </xmlCellPr>
  </singleXmlCell>
  <singleXmlCell id="581" xr6:uid="{00000000-000C-0000-FFFF-FFFF9E000000}" r="J117" connectionId="0">
    <xmlCellPr id="1" xr6:uid="{00000000-0010-0000-9E00-000001000000}" uniqueName="1">
      <xmlPr mapId="43" xpath="/ns1:Root/ns1:Prog/ns1:Achieved__P3_1" xmlDataType="double"/>
    </xmlCellPr>
  </singleXmlCell>
  <singleXmlCell id="582" xr6:uid="{00000000-000C-0000-FFFF-FFFF9F000000}" r="K117" connectionId="0">
    <xmlCellPr id="1" xr6:uid="{00000000-0010-0000-9F00-000001000000}" uniqueName="1">
      <xmlPr mapId="43" xpath="/ns1:Root/ns1:Prog/ns1:Achieved__P4_1" xmlDataType="double"/>
    </xmlCellPr>
  </singleXmlCell>
  <singleXmlCell id="583" xr6:uid="{00000000-000C-0000-FFFF-FFFFA0000000}" r="L117" connectionId="0">
    <xmlCellPr id="1" xr6:uid="{00000000-0010-0000-A000-000001000000}" uniqueName="1">
      <xmlPr mapId="43" xpath="/ns1:Root/ns1:Prog/ns1:Achieved__P5_1" xmlDataType="string"/>
    </xmlCellPr>
  </singleXmlCell>
  <singleXmlCell id="584" xr6:uid="{00000000-000C-0000-FFFF-FFFFA1000000}" r="M117" connectionId="0">
    <xmlCellPr id="1" xr6:uid="{00000000-0010-0000-A100-000001000000}" uniqueName="1">
      <xmlPr mapId="43" xpath="/ns1:Root/ns1:Prog/ns1:Achieved__P6_1" xmlDataType="string"/>
    </xmlCellPr>
  </singleXmlCell>
  <singleXmlCell id="585" xr6:uid="{00000000-000C-0000-FFFF-FFFFA2000000}" r="N117" connectionId="0">
    <xmlCellPr id="1" xr6:uid="{00000000-0010-0000-A200-000001000000}" uniqueName="1">
      <xmlPr mapId="43" xpath="/ns1:Root/ns1:Prog/ns1:Achieved__P7_1" xmlDataType="string"/>
    </xmlCellPr>
  </singleXmlCell>
  <singleXmlCell id="586" xr6:uid="{00000000-000C-0000-FFFF-FFFFA3000000}" r="O117" connectionId="0">
    <xmlCellPr id="1" xr6:uid="{00000000-0010-0000-A300-000001000000}" uniqueName="1">
      <xmlPr mapId="43" xpath="/ns1:Root/ns1:Prog/ns1:Achieved__P8_1" xmlDataType="string"/>
    </xmlCellPr>
  </singleXmlCell>
  <singleXmlCell id="587" xr6:uid="{00000000-000C-0000-FFFF-FFFFA4000000}" r="P117" connectionId="0">
    <xmlCellPr id="1" xr6:uid="{00000000-0010-0000-A400-000001000000}" uniqueName="1">
      <xmlPr mapId="43" xpath="/ns1:Root/ns1:Prog/ns1:Achieved__P9_1" xmlDataType="string"/>
    </xmlCellPr>
  </singleXmlCell>
  <singleXmlCell id="588" xr6:uid="{00000000-000C-0000-FFFF-FFFFA5000000}" r="Q117" connectionId="0">
    <xmlCellPr id="1" xr6:uid="{00000000-0010-0000-A500-000001000000}" uniqueName="1">
      <xmlPr mapId="43" xpath="/ns1:Root/ns1:Prog/ns1:Achieved__P10_1" xmlDataType="string"/>
    </xmlCellPr>
  </singleXmlCell>
  <singleXmlCell id="589" xr6:uid="{00000000-000C-0000-FFFF-FFFFA6000000}" r="R117" connectionId="0">
    <xmlCellPr id="1" xr6:uid="{00000000-0010-0000-A600-000001000000}" uniqueName="1">
      <xmlPr mapId="43" xpath="/ns1:Root/ns1:Prog/ns1:Achieved__P11_1" xmlDataType="string"/>
    </xmlCellPr>
  </singleXmlCell>
  <singleXmlCell id="590" xr6:uid="{00000000-000C-0000-FFFF-FFFFA7000000}" r="S117" connectionId="0">
    <xmlCellPr id="1" xr6:uid="{00000000-0010-0000-A700-000001000000}" uniqueName="1">
      <xmlPr mapId="43" xpath="/ns1:Root/ns1:Prog/ns1:Achieved__P12_1" xmlDataType="string"/>
    </xmlCellPr>
  </singleXmlCell>
  <singleXmlCell id="599" xr6:uid="{00000000-000C-0000-FFFF-FFFFA8000000}" r="Q118" connectionId="0">
    <xmlCellPr id="1" xr6:uid="{00000000-0010-0000-A800-000001000000}" uniqueName="1">
      <xmlPr mapId="43" xpath="/ns1:Root/ns1:Prog/ns1:Target_P10_2" xmlDataType="double"/>
    </xmlCellPr>
  </singleXmlCell>
  <singleXmlCell id="600" xr6:uid="{00000000-000C-0000-FFFF-FFFFA9000000}" r="R118" connectionId="0">
    <xmlCellPr id="1" xr6:uid="{00000000-0010-0000-A900-000001000000}" uniqueName="1">
      <xmlPr mapId="43" xpath="/ns1:Root/ns1:Prog/ns1:Target_P11_2" xmlDataType="double"/>
    </xmlCellPr>
  </singleXmlCell>
  <singleXmlCell id="601" xr6:uid="{00000000-000C-0000-FFFF-FFFFAA000000}" r="S118" connectionId="0">
    <xmlCellPr id="1" xr6:uid="{00000000-0010-0000-AA00-000001000000}" uniqueName="1">
      <xmlPr mapId="43" xpath="/ns1:Root/ns1:Prog/ns1:Target_P12_2" xmlDataType="double"/>
    </xmlCellPr>
  </singleXmlCell>
  <singleXmlCell id="611" xr6:uid="{00000000-000C-0000-FFFF-FFFFAB000000}" r="Q119" connectionId="0">
    <xmlCellPr id="1" xr6:uid="{00000000-0010-0000-AB00-000001000000}" uniqueName="1">
      <xmlPr mapId="43" xpath="/ns1:Root/ns1:Prog/ns1:Achieved__P10_2" xmlDataType="string"/>
    </xmlCellPr>
  </singleXmlCell>
  <singleXmlCell id="612" xr6:uid="{00000000-000C-0000-FFFF-FFFFAC000000}" r="R119" connectionId="0">
    <xmlCellPr id="1" xr6:uid="{00000000-0010-0000-AC00-000001000000}" uniqueName="1">
      <xmlPr mapId="43" xpath="/ns1:Root/ns1:Prog/ns1:Achieved__P11_2" xmlDataType="string"/>
    </xmlCellPr>
  </singleXmlCell>
  <singleXmlCell id="613" xr6:uid="{00000000-000C-0000-FFFF-FFFFAD000000}" r="S119" connectionId="0">
    <xmlCellPr id="1" xr6:uid="{00000000-0010-0000-AD00-000001000000}" uniqueName="1">
      <xmlPr mapId="43" xpath="/ns1:Root/ns1:Prog/ns1:Achieved__P12_2" xmlDataType="string"/>
    </xmlCellPr>
  </singleXmlCell>
  <singleXmlCell id="662" xr6:uid="{00000000-000C-0000-FFFF-FFFFAE000000}" r="H122" connectionId="0">
    <xmlCellPr id="1" xr6:uid="{00000000-0010-0000-AE00-000001000000}" uniqueName="1">
      <xmlPr mapId="43" xpath="/ns1:Root/ns1:Prog/ns1:Target_P1_5" xmlDataType="double"/>
    </xmlCellPr>
  </singleXmlCell>
  <singleXmlCell id="663" xr6:uid="{00000000-000C-0000-FFFF-FFFFAF000000}" r="I122" connectionId="0">
    <xmlCellPr id="1" xr6:uid="{00000000-0010-0000-AF00-000001000000}" uniqueName="1">
      <xmlPr mapId="43" xpath="/ns1:Root/ns1:Prog/ns1:Target_P2_5" xmlDataType="double"/>
    </xmlCellPr>
  </singleXmlCell>
  <singleXmlCell id="664" xr6:uid="{00000000-000C-0000-FFFF-FFFFB0000000}" r="J122" connectionId="0">
    <xmlCellPr id="1" xr6:uid="{00000000-0010-0000-B000-000001000000}" uniqueName="1">
      <xmlPr mapId="43" xpath="/ns1:Root/ns1:Prog/ns1:Target_P3_5" xmlDataType="double"/>
    </xmlCellPr>
  </singleXmlCell>
  <singleXmlCell id="665" xr6:uid="{00000000-000C-0000-FFFF-FFFFB1000000}" r="K122" connectionId="0">
    <xmlCellPr id="1" xr6:uid="{00000000-0010-0000-B100-000001000000}" uniqueName="1">
      <xmlPr mapId="43" xpath="/ns1:Root/ns1:Prog/ns1:Target_P4_5" xmlDataType="double"/>
    </xmlCellPr>
  </singleXmlCell>
  <singleXmlCell id="666" xr6:uid="{00000000-000C-0000-FFFF-FFFFB2000000}" r="L122" connectionId="0">
    <xmlCellPr id="1" xr6:uid="{00000000-0010-0000-B200-000001000000}" uniqueName="1">
      <xmlPr mapId="43" xpath="/ns1:Root/ns1:Prog/ns1:Target_P5_5" xmlDataType="double"/>
    </xmlCellPr>
  </singleXmlCell>
  <singleXmlCell id="667" xr6:uid="{00000000-000C-0000-FFFF-FFFFB3000000}" r="M122" connectionId="0">
    <xmlCellPr id="1" xr6:uid="{00000000-0010-0000-B300-000001000000}" uniqueName="1">
      <xmlPr mapId="43" xpath="/ns1:Root/ns1:Prog/ns1:Target_P6_5" xmlDataType="double"/>
    </xmlCellPr>
  </singleXmlCell>
  <singleXmlCell id="668" xr6:uid="{00000000-000C-0000-FFFF-FFFFB4000000}" r="N122" connectionId="0">
    <xmlCellPr id="1" xr6:uid="{00000000-0010-0000-B400-000001000000}" uniqueName="1">
      <xmlPr mapId="43" xpath="/ns1:Root/ns1:Prog/ns1:Target_P7_5" xmlDataType="double"/>
    </xmlCellPr>
  </singleXmlCell>
  <singleXmlCell id="669" xr6:uid="{00000000-000C-0000-FFFF-FFFFB5000000}" r="O122" connectionId="0">
    <xmlCellPr id="1" xr6:uid="{00000000-0010-0000-B500-000001000000}" uniqueName="1">
      <xmlPr mapId="43" xpath="/ns1:Root/ns1:Prog/ns1:Target_P8_5" xmlDataType="double"/>
    </xmlCellPr>
  </singleXmlCell>
  <singleXmlCell id="670" xr6:uid="{00000000-000C-0000-FFFF-FFFFB6000000}" r="P122" connectionId="0">
    <xmlCellPr id="1" xr6:uid="{00000000-0010-0000-B600-000001000000}" uniqueName="1">
      <xmlPr mapId="43" xpath="/ns1:Root/ns1:Prog/ns1:Target_P9_5" xmlDataType="double"/>
    </xmlCellPr>
  </singleXmlCell>
  <singleXmlCell id="671" xr6:uid="{00000000-000C-0000-FFFF-FFFFB7000000}" r="Q122" connectionId="0">
    <xmlCellPr id="1" xr6:uid="{00000000-0010-0000-B700-000001000000}" uniqueName="1">
      <xmlPr mapId="43" xpath="/ns1:Root/ns1:Prog/ns1:Target_P10_5" xmlDataType="double"/>
    </xmlCellPr>
  </singleXmlCell>
  <singleXmlCell id="672" xr6:uid="{00000000-000C-0000-FFFF-FFFFB8000000}" r="R122" connectionId="0">
    <xmlCellPr id="1" xr6:uid="{00000000-0010-0000-B800-000001000000}" uniqueName="1">
      <xmlPr mapId="43" xpath="/ns1:Root/ns1:Prog/ns1:Target_P11_5" xmlDataType="double"/>
    </xmlCellPr>
  </singleXmlCell>
  <singleXmlCell id="673" xr6:uid="{00000000-000C-0000-FFFF-FFFFB9000000}" r="S122" connectionId="0">
    <xmlCellPr id="1" xr6:uid="{00000000-0010-0000-B900-000001000000}" uniqueName="1">
      <xmlPr mapId="43" xpath="/ns1:Root/ns1:Prog/ns1:Target_P12_5" xmlDataType="double"/>
    </xmlCellPr>
  </singleXmlCell>
  <singleXmlCell id="674" xr6:uid="{00000000-000C-0000-FFFF-FFFFBA000000}" r="H123" connectionId="0">
    <xmlCellPr id="1" xr6:uid="{00000000-0010-0000-BA00-000001000000}" uniqueName="1">
      <xmlPr mapId="43" xpath="/ns1:Root/ns1:Prog/ns1:Achieved__P1_5" xmlDataType="double"/>
    </xmlCellPr>
  </singleXmlCell>
  <singleXmlCell id="675" xr6:uid="{00000000-000C-0000-FFFF-FFFFBB000000}" r="I123" connectionId="0">
    <xmlCellPr id="1" xr6:uid="{00000000-0010-0000-BB00-000001000000}" uniqueName="1">
      <xmlPr mapId="43" xpath="/ns1:Root/ns1:Prog/ns1:Achieved__P2_5" xmlDataType="double"/>
    </xmlCellPr>
  </singleXmlCell>
  <singleXmlCell id="676" xr6:uid="{00000000-000C-0000-FFFF-FFFFBC000000}" r="J123" connectionId="0">
    <xmlCellPr id="1" xr6:uid="{00000000-0010-0000-BC00-000001000000}" uniqueName="1">
      <xmlPr mapId="43" xpath="/ns1:Root/ns1:Prog/ns1:Achieved__P3_5" xmlDataType="double"/>
    </xmlCellPr>
  </singleXmlCell>
  <singleXmlCell id="677" xr6:uid="{00000000-000C-0000-FFFF-FFFFBD000000}" r="K123" connectionId="0">
    <xmlCellPr id="1" xr6:uid="{00000000-0010-0000-BD00-000001000000}" uniqueName="1">
      <xmlPr mapId="43" xpath="/ns1:Root/ns1:Prog/ns1:Achieved__P4_5" xmlDataType="double"/>
    </xmlCellPr>
  </singleXmlCell>
  <singleXmlCell id="678" xr6:uid="{00000000-000C-0000-FFFF-FFFFBE000000}" r="L123" connectionId="0">
    <xmlCellPr id="1" xr6:uid="{00000000-0010-0000-BE00-000001000000}" uniqueName="1">
      <xmlPr mapId="43" xpath="/ns1:Root/ns1:Prog/ns1:Achieved__P5_5" xmlDataType="string"/>
    </xmlCellPr>
  </singleXmlCell>
  <singleXmlCell id="679" xr6:uid="{00000000-000C-0000-FFFF-FFFFBF000000}" r="M123" connectionId="0">
    <xmlCellPr id="1" xr6:uid="{00000000-0010-0000-BF00-000001000000}" uniqueName="1">
      <xmlPr mapId="43" xpath="/ns1:Root/ns1:Prog/ns1:Achieved__P6_5" xmlDataType="string"/>
    </xmlCellPr>
  </singleXmlCell>
  <singleXmlCell id="680" xr6:uid="{00000000-000C-0000-FFFF-FFFFC0000000}" r="N123" connectionId="0">
    <xmlCellPr id="1" xr6:uid="{00000000-0010-0000-C000-000001000000}" uniqueName="1">
      <xmlPr mapId="43" xpath="/ns1:Root/ns1:Prog/ns1:Achieved__P7_5" xmlDataType="string"/>
    </xmlCellPr>
  </singleXmlCell>
  <singleXmlCell id="681" xr6:uid="{00000000-000C-0000-FFFF-FFFFC1000000}" r="O123" connectionId="0">
    <xmlCellPr id="1" xr6:uid="{00000000-0010-0000-C100-000001000000}" uniqueName="1">
      <xmlPr mapId="43" xpath="/ns1:Root/ns1:Prog/ns1:Achieved__P8_5" xmlDataType="string"/>
    </xmlCellPr>
  </singleXmlCell>
  <singleXmlCell id="682" xr6:uid="{00000000-000C-0000-FFFF-FFFFC2000000}" r="P123" connectionId="0">
    <xmlCellPr id="1" xr6:uid="{00000000-0010-0000-C200-000001000000}" uniqueName="1">
      <xmlPr mapId="43" xpath="/ns1:Root/ns1:Prog/ns1:Achieved__P9_5" xmlDataType="string"/>
    </xmlCellPr>
  </singleXmlCell>
  <singleXmlCell id="683" xr6:uid="{00000000-000C-0000-FFFF-FFFFC3000000}" r="Q123" connectionId="0">
    <xmlCellPr id="1" xr6:uid="{00000000-0010-0000-C300-000001000000}" uniqueName="1">
      <xmlPr mapId="43" xpath="/ns1:Root/ns1:Prog/ns1:Achieved__P10_5" xmlDataType="string"/>
    </xmlCellPr>
  </singleXmlCell>
  <singleXmlCell id="684" xr6:uid="{00000000-000C-0000-FFFF-FFFFC4000000}" r="R123" connectionId="0">
    <xmlCellPr id="1" xr6:uid="{00000000-0010-0000-C400-000001000000}" uniqueName="1">
      <xmlPr mapId="43" xpath="/ns1:Root/ns1:Prog/ns1:Achieved__P11_5" xmlDataType="string"/>
    </xmlCellPr>
  </singleXmlCell>
  <singleXmlCell id="685" xr6:uid="{00000000-000C-0000-FFFF-FFFFC5000000}" r="S123" connectionId="0">
    <xmlCellPr id="1" xr6:uid="{00000000-0010-0000-C500-000001000000}" uniqueName="1">
      <xmlPr mapId="43" xpath="/ns1:Root/ns1:Prog/ns1:Achieved__P12_5" xmlDataType="string"/>
    </xmlCellPr>
  </singleXmlCell>
  <singleXmlCell id="686" xr6:uid="{00000000-000C-0000-FFFF-FFFFC6000000}" r="H124" connectionId="0">
    <xmlCellPr id="1" xr6:uid="{00000000-0010-0000-C600-000001000000}" uniqueName="1">
      <xmlPr mapId="43" xpath="/ns1:Root/ns1:Prog/ns1:Target_P1_6" xmlDataType="double"/>
    </xmlCellPr>
  </singleXmlCell>
  <singleXmlCell id="687" xr6:uid="{00000000-000C-0000-FFFF-FFFFC7000000}" r="I124" connectionId="0">
    <xmlCellPr id="1" xr6:uid="{00000000-0010-0000-C700-000001000000}" uniqueName="1">
      <xmlPr mapId="43" xpath="/ns1:Root/ns1:Prog/ns1:Target_P2_6" xmlDataType="double"/>
    </xmlCellPr>
  </singleXmlCell>
  <singleXmlCell id="688" xr6:uid="{00000000-000C-0000-FFFF-FFFFC8000000}" r="J124" connectionId="0">
    <xmlCellPr id="1" xr6:uid="{00000000-0010-0000-C800-000001000000}" uniqueName="1">
      <xmlPr mapId="43" xpath="/ns1:Root/ns1:Prog/ns1:Target_P3_6" xmlDataType="double"/>
    </xmlCellPr>
  </singleXmlCell>
  <singleXmlCell id="689" xr6:uid="{00000000-000C-0000-FFFF-FFFFC9000000}" r="K124" connectionId="0">
    <xmlCellPr id="1" xr6:uid="{00000000-0010-0000-C900-000001000000}" uniqueName="1">
      <xmlPr mapId="43" xpath="/ns1:Root/ns1:Prog/ns1:Target_P4_6" xmlDataType="double"/>
    </xmlCellPr>
  </singleXmlCell>
  <singleXmlCell id="690" xr6:uid="{00000000-000C-0000-FFFF-FFFFCA000000}" r="L124" connectionId="0">
    <xmlCellPr id="1" xr6:uid="{00000000-0010-0000-CA00-000001000000}" uniqueName="1">
      <xmlPr mapId="43" xpath="/ns1:Root/ns1:Prog/ns1:Target_P5_6" xmlDataType="double"/>
    </xmlCellPr>
  </singleXmlCell>
  <singleXmlCell id="691" xr6:uid="{00000000-000C-0000-FFFF-FFFFCB000000}" r="M124" connectionId="0">
    <xmlCellPr id="1" xr6:uid="{00000000-0010-0000-CB00-000001000000}" uniqueName="1">
      <xmlPr mapId="43" xpath="/ns1:Root/ns1:Prog/ns1:Target_P6_6" xmlDataType="double"/>
    </xmlCellPr>
  </singleXmlCell>
  <singleXmlCell id="692" xr6:uid="{00000000-000C-0000-FFFF-FFFFCC000000}" r="N124" connectionId="0">
    <xmlCellPr id="1" xr6:uid="{00000000-0010-0000-CC00-000001000000}" uniqueName="1">
      <xmlPr mapId="43" xpath="/ns1:Root/ns1:Prog/ns1:Target_P7_6" xmlDataType="double"/>
    </xmlCellPr>
  </singleXmlCell>
  <singleXmlCell id="693" xr6:uid="{00000000-000C-0000-FFFF-FFFFCD000000}" r="O124" connectionId="0">
    <xmlCellPr id="1" xr6:uid="{00000000-0010-0000-CD00-000001000000}" uniqueName="1">
      <xmlPr mapId="43" xpath="/ns1:Root/ns1:Prog/ns1:Target_P8_6" xmlDataType="double"/>
    </xmlCellPr>
  </singleXmlCell>
  <singleXmlCell id="694" xr6:uid="{00000000-000C-0000-FFFF-FFFFCE000000}" r="P124" connectionId="0">
    <xmlCellPr id="1" xr6:uid="{00000000-0010-0000-CE00-000001000000}" uniqueName="1">
      <xmlPr mapId="43" xpath="/ns1:Root/ns1:Prog/ns1:Target_P9_6" xmlDataType="double"/>
    </xmlCellPr>
  </singleXmlCell>
  <singleXmlCell id="695" xr6:uid="{00000000-000C-0000-FFFF-FFFFCF000000}" r="Q124" connectionId="0">
    <xmlCellPr id="1" xr6:uid="{00000000-0010-0000-CF00-000001000000}" uniqueName="1">
      <xmlPr mapId="43" xpath="/ns1:Root/ns1:Prog/ns1:Target_P10_6" xmlDataType="double"/>
    </xmlCellPr>
  </singleXmlCell>
  <singleXmlCell id="696" xr6:uid="{00000000-000C-0000-FFFF-FFFFD0000000}" r="R124" connectionId="0">
    <xmlCellPr id="1" xr6:uid="{00000000-0010-0000-D000-000001000000}" uniqueName="1">
      <xmlPr mapId="43" xpath="/ns1:Root/ns1:Prog/ns1:Target_P11_6" xmlDataType="double"/>
    </xmlCellPr>
  </singleXmlCell>
  <singleXmlCell id="697" xr6:uid="{00000000-000C-0000-FFFF-FFFFD1000000}" r="S124" connectionId="0">
    <xmlCellPr id="1" xr6:uid="{00000000-0010-0000-D100-000001000000}" uniqueName="1">
      <xmlPr mapId="43" xpath="/ns1:Root/ns1:Prog/ns1:Target_P12_6" xmlDataType="double"/>
    </xmlCellPr>
  </singleXmlCell>
  <singleXmlCell id="698" xr6:uid="{00000000-000C-0000-FFFF-FFFFD2000000}" r="H125" connectionId="0">
    <xmlCellPr id="1" xr6:uid="{00000000-0010-0000-D200-000001000000}" uniqueName="1">
      <xmlPr mapId="43" xpath="/ns1:Root/ns1:Prog/ns1:Achieved__P1_6" xmlDataType="double"/>
    </xmlCellPr>
  </singleXmlCell>
  <singleXmlCell id="699" xr6:uid="{00000000-000C-0000-FFFF-FFFFD3000000}" r="I125" connectionId="0">
    <xmlCellPr id="1" xr6:uid="{00000000-0010-0000-D300-000001000000}" uniqueName="1">
      <xmlPr mapId="43" xpath="/ns1:Root/ns1:Prog/ns1:Achieved__P2_6" xmlDataType="double"/>
    </xmlCellPr>
  </singleXmlCell>
  <singleXmlCell id="700" xr6:uid="{00000000-000C-0000-FFFF-FFFFD4000000}" r="J125" connectionId="0">
    <xmlCellPr id="1" xr6:uid="{00000000-0010-0000-D400-000001000000}" uniqueName="1">
      <xmlPr mapId="43" xpath="/ns1:Root/ns1:Prog/ns1:Achieved__P3_6" xmlDataType="double"/>
    </xmlCellPr>
  </singleXmlCell>
  <singleXmlCell id="701" xr6:uid="{00000000-000C-0000-FFFF-FFFFD5000000}" r="K125" connectionId="0">
    <xmlCellPr id="1" xr6:uid="{00000000-0010-0000-D500-000001000000}" uniqueName="1">
      <xmlPr mapId="43" xpath="/ns1:Root/ns1:Prog/ns1:Achieved__P4_6" xmlDataType="double"/>
    </xmlCellPr>
  </singleXmlCell>
  <singleXmlCell id="702" xr6:uid="{00000000-000C-0000-FFFF-FFFFD6000000}" r="L125" connectionId="0">
    <xmlCellPr id="1" xr6:uid="{00000000-0010-0000-D600-000001000000}" uniqueName="1">
      <xmlPr mapId="43" xpath="/ns1:Root/ns1:Prog/ns1:Achieved__P5_6" xmlDataType="string"/>
    </xmlCellPr>
  </singleXmlCell>
  <singleXmlCell id="703" xr6:uid="{00000000-000C-0000-FFFF-FFFFD7000000}" r="M125" connectionId="0">
    <xmlCellPr id="1" xr6:uid="{00000000-0010-0000-D700-000001000000}" uniqueName="1">
      <xmlPr mapId="43" xpath="/ns1:Root/ns1:Prog/ns1:Achieved__P6_6" xmlDataType="string"/>
    </xmlCellPr>
  </singleXmlCell>
  <singleXmlCell id="704" xr6:uid="{00000000-000C-0000-FFFF-FFFFD8000000}" r="N125" connectionId="0">
    <xmlCellPr id="1" xr6:uid="{00000000-0010-0000-D800-000001000000}" uniqueName="1">
      <xmlPr mapId="43" xpath="/ns1:Root/ns1:Prog/ns1:Achieved__P7_6" xmlDataType="string"/>
    </xmlCellPr>
  </singleXmlCell>
  <singleXmlCell id="705" xr6:uid="{00000000-000C-0000-FFFF-FFFFD9000000}" r="O125" connectionId="0">
    <xmlCellPr id="1" xr6:uid="{00000000-0010-0000-D900-000001000000}" uniqueName="1">
      <xmlPr mapId="43" xpath="/ns1:Root/ns1:Prog/ns1:Achieved__P8_6" xmlDataType="string"/>
    </xmlCellPr>
  </singleXmlCell>
  <singleXmlCell id="706" xr6:uid="{00000000-000C-0000-FFFF-FFFFDA000000}" r="P125" connectionId="0">
    <xmlCellPr id="1" xr6:uid="{00000000-0010-0000-DA00-000001000000}" uniqueName="1">
      <xmlPr mapId="43" xpath="/ns1:Root/ns1:Prog/ns1:Achieved__P9_6" xmlDataType="string"/>
    </xmlCellPr>
  </singleXmlCell>
  <singleXmlCell id="707" xr6:uid="{00000000-000C-0000-FFFF-FFFFDB000000}" r="Q125" connectionId="0">
    <xmlCellPr id="1" xr6:uid="{00000000-0010-0000-DB00-000001000000}" uniqueName="1">
      <xmlPr mapId="43" xpath="/ns1:Root/ns1:Prog/ns1:Achieved__P10_6" xmlDataType="string"/>
    </xmlCellPr>
  </singleXmlCell>
  <singleXmlCell id="708" xr6:uid="{00000000-000C-0000-FFFF-FFFFDC000000}" r="R125" connectionId="0">
    <xmlCellPr id="1" xr6:uid="{00000000-0010-0000-DC00-000001000000}" uniqueName="1">
      <xmlPr mapId="43" xpath="/ns1:Root/ns1:Prog/ns1:Achieved__P11_6" xmlDataType="string"/>
    </xmlCellPr>
  </singleXmlCell>
  <singleXmlCell id="709" xr6:uid="{00000000-000C-0000-FFFF-FFFFDD000000}" r="S125" connectionId="0">
    <xmlCellPr id="1" xr6:uid="{00000000-0010-0000-DD00-000001000000}" uniqueName="1">
      <xmlPr mapId="43" xpath="/ns1:Root/ns1:Prog/ns1:Achieved__P12_6" xmlDataType="string"/>
    </xmlCellPr>
  </singleXmlCell>
  <singleXmlCell id="807" xr6:uid="{00000000-000C-0000-FFFF-FFFFDE000000}" r="B116" connectionId="0">
    <xmlCellPr id="1" xr6:uid="{00000000-0010-0000-DE00-000001000000}" uniqueName="1">
      <xmlPr mapId="43" xpath="/ns1:Root/ns1:P1" xmlDataType="string"/>
    </xmlCellPr>
  </singleXmlCell>
  <singleXmlCell id="808" xr6:uid="{00000000-000C-0000-FFFF-FFFFDF000000}" r="E116" connectionId="0">
    <xmlCellPr id="1" xr6:uid="{00000000-0010-0000-DF00-000001000000}" uniqueName="1">
      <xmlPr mapId="43" xpath="/ns1:Root/ns1:P1_Code" xmlDataType="double"/>
    </xmlCellPr>
  </singleXmlCell>
  <singleXmlCell id="809" xr6:uid="{00000000-000C-0000-FFFF-FFFFE0000000}" r="F116" connectionId="0">
    <xmlCellPr id="1" xr6:uid="{00000000-0010-0000-E000-000001000000}" uniqueName="1">
      <xmlPr mapId="43" xpath="/ns1:Root/ns1:P1_Tied" xmlDataType="string"/>
    </xmlCellPr>
  </singleXmlCell>
  <singleXmlCell id="810" xr6:uid="{00000000-000C-0000-FFFF-FFFFE1000000}" r="B118" connectionId="0">
    <xmlCellPr id="1" xr6:uid="{00000000-0010-0000-E100-000001000000}" uniqueName="1">
      <xmlPr mapId="43" xpath="/ns1:Root/ns1:P2" xmlDataType="string"/>
    </xmlCellPr>
  </singleXmlCell>
  <singleXmlCell id="811" xr6:uid="{00000000-000C-0000-FFFF-FFFFE2000000}" r="E118" connectionId="0">
    <xmlCellPr id="1" xr6:uid="{00000000-0010-0000-E200-000001000000}" uniqueName="1">
      <xmlPr mapId="43" xpath="/ns1:Root/ns1:P2_Code" xmlDataType="double"/>
    </xmlCellPr>
  </singleXmlCell>
  <singleXmlCell id="812" xr6:uid="{00000000-000C-0000-FFFF-FFFFE3000000}" r="F118" connectionId="0">
    <xmlCellPr id="1" xr6:uid="{00000000-0010-0000-E300-000001000000}" uniqueName="1">
      <xmlPr mapId="43" xpath="/ns1:Root/ns1:P2_Tied" xmlDataType="string"/>
    </xmlCellPr>
  </singleXmlCell>
  <singleXmlCell id="819" xr6:uid="{00000000-000C-0000-FFFF-FFFFE4000000}" r="B122" connectionId="0">
    <xmlCellPr id="1" xr6:uid="{00000000-0010-0000-E400-000001000000}" uniqueName="1">
      <xmlPr mapId="43" xpath="/ns1:Root/ns1:P5" xmlDataType="string"/>
    </xmlCellPr>
  </singleXmlCell>
  <singleXmlCell id="820" xr6:uid="{00000000-000C-0000-FFFF-FFFFE5000000}" r="E122" connectionId="0">
    <xmlCellPr id="1" xr6:uid="{00000000-0010-0000-E500-000001000000}" uniqueName="1">
      <xmlPr mapId="43" xpath="/ns1:Root/ns1:P5_Code" xmlDataType="double"/>
    </xmlCellPr>
  </singleXmlCell>
  <singleXmlCell id="821" xr6:uid="{00000000-000C-0000-FFFF-FFFFE6000000}" r="F122" connectionId="0">
    <xmlCellPr id="1" xr6:uid="{00000000-0010-0000-E600-000001000000}" uniqueName="1">
      <xmlPr mapId="43" xpath="/ns1:Root/ns1:P5_Tied" xmlDataType="string"/>
    </xmlCellPr>
  </singleXmlCell>
  <singleXmlCell id="822" xr6:uid="{00000000-000C-0000-FFFF-FFFFE7000000}" r="B124" connectionId="0">
    <xmlCellPr id="1" xr6:uid="{00000000-0010-0000-E700-000001000000}" uniqueName="1">
      <xmlPr mapId="43" xpath="/ns1:Root/ns1:P6" xmlDataType="string"/>
    </xmlCellPr>
  </singleXmlCell>
  <singleXmlCell id="823" xr6:uid="{00000000-000C-0000-FFFF-FFFFE8000000}" r="E124" connectionId="0">
    <xmlCellPr id="1" xr6:uid="{00000000-0010-0000-E800-000001000000}" uniqueName="1">
      <xmlPr mapId="43" xpath="/ns1:Root/ns1:P6_Code" xmlDataType="double"/>
    </xmlCellPr>
  </singleXmlCell>
  <singleXmlCell id="824" xr6:uid="{00000000-000C-0000-FFFF-FFFFE9000000}" r="F124" connectionId="0">
    <xmlCellPr id="1" xr6:uid="{00000000-0010-0000-E900-000001000000}" uniqueName="1">
      <xmlPr mapId="43" xpath="/ns1:Root/ns1:P6_Tied" xmlDataType="string"/>
    </xmlCellPr>
  </singleXmlCell>
  <singleXmlCell id="837" xr6:uid="{00000000-000C-0000-FFFF-FFFFEA000000}" r="D26" connectionId="0">
    <xmlCellPr id="1" xr6:uid="{00000000-0010-0000-EA00-000001000000}" uniqueName="1">
      <xmlPr mapId="43" xpath="/ns1:Root/ns1:Currency" xmlDataType="string"/>
    </xmlCellPr>
  </singleXmlCell>
  <singleXmlCell id="830" xr6:uid="{00000000-000C-0000-FFFF-FFFFEB000000}" r="F130" connectionId="0">
    <xmlCellPr id="1" xr6:uid="{00000000-0010-0000-EB00-000001000000}" uniqueName="1">
      <xmlPr mapId="43" xpath="/ns1:Root/ns1:P8_Tied" xmlDataType="string"/>
    </xmlCellPr>
  </singleXmlCell>
  <singleXmlCell id="829" xr6:uid="{00000000-000C-0000-FFFF-FFFFEC000000}" r="E130" connectionId="0">
    <xmlCellPr id="1" xr6:uid="{00000000-0010-0000-EC00-000001000000}" uniqueName="1">
      <xmlPr mapId="43" xpath="/ns1:Root/ns1:P8_Code" xmlDataType="double"/>
    </xmlCellPr>
  </singleXmlCell>
  <singleXmlCell id="828" xr6:uid="{00000000-000C-0000-FFFF-FFFFED000000}" r="B130" connectionId="0">
    <xmlCellPr id="1" xr6:uid="{00000000-0010-0000-ED00-000001000000}" uniqueName="1">
      <xmlPr mapId="43" xpath="/ns1:Root/ns1:P8" xmlDataType="string"/>
    </xmlCellPr>
  </singleXmlCell>
  <singleXmlCell id="827" xr6:uid="{00000000-000C-0000-FFFF-FFFFEE000000}" r="F126" connectionId="0">
    <xmlCellPr id="1" xr6:uid="{00000000-0010-0000-EE00-000001000000}" uniqueName="1">
      <xmlPr mapId="43" xpath="/ns1:Root/ns1:P7_Tied" xmlDataType="string"/>
    </xmlCellPr>
  </singleXmlCell>
  <singleXmlCell id="826" xr6:uid="{00000000-000C-0000-FFFF-FFFFEF000000}" r="E126" connectionId="0">
    <xmlCellPr id="1" xr6:uid="{00000000-0010-0000-EF00-000001000000}" uniqueName="1">
      <xmlPr mapId="43" xpath="/ns1:Root/ns1:P7_Code" xmlDataType="double"/>
    </xmlCellPr>
  </singleXmlCell>
  <singleXmlCell id="825" xr6:uid="{00000000-000C-0000-FFFF-FFFFF0000000}" r="B126" connectionId="0">
    <xmlCellPr id="1" xr6:uid="{00000000-0010-0000-F000-000001000000}" uniqueName="1">
      <xmlPr mapId="43" xpath="/ns1:Root/ns1:P7" xmlDataType="string"/>
    </xmlCellPr>
  </singleXmlCell>
  <singleXmlCell id="757" xr6:uid="{00000000-000C-0000-FFFF-FFFFF1000000}" r="S131" connectionId="0">
    <xmlCellPr id="1" xr6:uid="{00000000-0010-0000-F100-000001000000}" uniqueName="1">
      <xmlPr mapId="43" xpath="/ns1:Root/ns1:Prog/ns1:Achieved__P12_8" xmlDataType="string"/>
    </xmlCellPr>
  </singleXmlCell>
  <singleXmlCell id="756" xr6:uid="{00000000-000C-0000-FFFF-FFFFF2000000}" r="R131" connectionId="0">
    <xmlCellPr id="1" xr6:uid="{00000000-0010-0000-F200-000001000000}" uniqueName="1">
      <xmlPr mapId="43" xpath="/ns1:Root/ns1:Prog/ns1:Achieved__P11_8" xmlDataType="string"/>
    </xmlCellPr>
  </singleXmlCell>
  <singleXmlCell id="755" xr6:uid="{00000000-000C-0000-FFFF-FFFFF3000000}" r="Q131" connectionId="0">
    <xmlCellPr id="1" xr6:uid="{00000000-0010-0000-F300-000001000000}" uniqueName="1">
      <xmlPr mapId="43" xpath="/ns1:Root/ns1:Prog/ns1:Achieved__P10_8" xmlDataType="string"/>
    </xmlCellPr>
  </singleXmlCell>
  <singleXmlCell id="754" xr6:uid="{00000000-000C-0000-FFFF-FFFFF4000000}" r="P131" connectionId="0">
    <xmlCellPr id="1" xr6:uid="{00000000-0010-0000-F400-000001000000}" uniqueName="1">
      <xmlPr mapId="43" xpath="/ns1:Root/ns1:Prog/ns1:Achieved__P9_8" xmlDataType="string"/>
    </xmlCellPr>
  </singleXmlCell>
  <singleXmlCell id="753" xr6:uid="{00000000-000C-0000-FFFF-FFFFF5000000}" r="O131" connectionId="0">
    <xmlCellPr id="1" xr6:uid="{00000000-0010-0000-F500-000001000000}" uniqueName="1">
      <xmlPr mapId="43" xpath="/ns1:Root/ns1:Prog/ns1:Achieved__P8_8" xmlDataType="string"/>
    </xmlCellPr>
  </singleXmlCell>
  <singleXmlCell id="752" xr6:uid="{00000000-000C-0000-FFFF-FFFFF6000000}" r="N131" connectionId="0">
    <xmlCellPr id="1" xr6:uid="{00000000-0010-0000-F600-000001000000}" uniqueName="1">
      <xmlPr mapId="43" xpath="/ns1:Root/ns1:Prog/ns1:Achieved__P7_8" xmlDataType="string"/>
    </xmlCellPr>
  </singleXmlCell>
  <singleXmlCell id="751" xr6:uid="{00000000-000C-0000-FFFF-FFFFF7000000}" r="M131" connectionId="0">
    <xmlCellPr id="1" xr6:uid="{00000000-0010-0000-F700-000001000000}" uniqueName="1">
      <xmlPr mapId="43" xpath="/ns1:Root/ns1:Prog/ns1:Achieved__P6_8" xmlDataType="string"/>
    </xmlCellPr>
  </singleXmlCell>
  <singleXmlCell id="750" xr6:uid="{00000000-000C-0000-FFFF-FFFFF8000000}" r="L131" connectionId="0">
    <xmlCellPr id="1" xr6:uid="{00000000-0010-0000-F800-000001000000}" uniqueName="1">
      <xmlPr mapId="43" xpath="/ns1:Root/ns1:Prog/ns1:Achieved__P5_8" xmlDataType="string"/>
    </xmlCellPr>
  </singleXmlCell>
  <singleXmlCell id="749" xr6:uid="{00000000-000C-0000-FFFF-FFFFF9000000}" r="K131" connectionId="0">
    <xmlCellPr id="1" xr6:uid="{00000000-0010-0000-F900-000001000000}" uniqueName="1">
      <xmlPr mapId="43" xpath="/ns1:Root/ns1:Prog/ns1:Achieved__P4_8" xmlDataType="string"/>
    </xmlCellPr>
  </singleXmlCell>
  <singleXmlCell id="748" xr6:uid="{00000000-000C-0000-FFFF-FFFFFA000000}" r="J131" connectionId="0">
    <xmlCellPr id="1" xr6:uid="{00000000-0010-0000-FA00-000001000000}" uniqueName="1">
      <xmlPr mapId="43" xpath="/ns1:Root/ns1:Prog/ns1:Achieved__P3_8" xmlDataType="string"/>
    </xmlCellPr>
  </singleXmlCell>
  <singleXmlCell id="747" xr6:uid="{00000000-000C-0000-FFFF-FFFFFB000000}" r="I131" connectionId="0">
    <xmlCellPr id="1" xr6:uid="{00000000-0010-0000-FB00-000001000000}" uniqueName="1">
      <xmlPr mapId="43" xpath="/ns1:Root/ns1:Prog/ns1:Achieved__P2_8" xmlDataType="string"/>
    </xmlCellPr>
  </singleXmlCell>
  <singleXmlCell id="746" xr6:uid="{00000000-000C-0000-FFFF-FFFFFC000000}" r="H131" connectionId="0">
    <xmlCellPr id="1" xr6:uid="{00000000-0010-0000-FC00-000001000000}" uniqueName="1">
      <xmlPr mapId="43" xpath="/ns1:Root/ns1:Prog/ns1:Achieved__P1_8" xmlDataType="string"/>
    </xmlCellPr>
  </singleXmlCell>
  <singleXmlCell id="745" xr6:uid="{00000000-000C-0000-FFFF-FFFFFD000000}" r="S130" connectionId="0">
    <xmlCellPr id="1" xr6:uid="{00000000-0010-0000-FD00-000001000000}" uniqueName="1">
      <xmlPr mapId="43" xpath="/ns1:Root/ns1:Prog/ns1:Target_P12_8" xmlDataType="double"/>
    </xmlCellPr>
  </singleXmlCell>
  <singleXmlCell id="744" xr6:uid="{00000000-000C-0000-FFFF-FFFFFE000000}" r="R130" connectionId="0">
    <xmlCellPr id="1" xr6:uid="{00000000-0010-0000-FE00-000001000000}" uniqueName="1">
      <xmlPr mapId="43" xpath="/ns1:Root/ns1:Prog/ns1:Target_P11_8" xmlDataType="double"/>
    </xmlCellPr>
  </singleXmlCell>
  <singleXmlCell id="743" xr6:uid="{00000000-000C-0000-FFFF-FFFFFF000000}" r="Q130" connectionId="0">
    <xmlCellPr id="1" xr6:uid="{00000000-0010-0000-FF00-000001000000}" uniqueName="1">
      <xmlPr mapId="43" xpath="/ns1:Root/ns1:Prog/ns1:Target_P10_8" xmlDataType="double"/>
    </xmlCellPr>
  </singleXmlCell>
  <singleXmlCell id="742" xr6:uid="{00000000-000C-0000-FFFF-FFFF00010000}" r="P130" connectionId="0">
    <xmlCellPr id="1" xr6:uid="{00000000-0010-0000-0001-000001000000}" uniqueName="1">
      <xmlPr mapId="43" xpath="/ns1:Root/ns1:Prog/ns1:Target_P9_8" xmlDataType="double"/>
    </xmlCellPr>
  </singleXmlCell>
  <singleXmlCell id="741" xr6:uid="{00000000-000C-0000-FFFF-FFFF01010000}" r="O130" connectionId="0">
    <xmlCellPr id="1" xr6:uid="{00000000-0010-0000-0101-000001000000}" uniqueName="1">
      <xmlPr mapId="43" xpath="/ns1:Root/ns1:Prog/ns1:Target_P8_8" xmlDataType="double"/>
    </xmlCellPr>
  </singleXmlCell>
  <singleXmlCell id="740" xr6:uid="{00000000-000C-0000-FFFF-FFFF02010000}" r="N130" connectionId="0">
    <xmlCellPr id="1" xr6:uid="{00000000-0010-0000-0201-000001000000}" uniqueName="1">
      <xmlPr mapId="43" xpath="/ns1:Root/ns1:Prog/ns1:Target_P7_8" xmlDataType="string"/>
    </xmlCellPr>
  </singleXmlCell>
  <singleXmlCell id="739" xr6:uid="{00000000-000C-0000-FFFF-FFFF03010000}" r="M130" connectionId="0">
    <xmlCellPr id="1" xr6:uid="{00000000-0010-0000-0301-000001000000}" uniqueName="1">
      <xmlPr mapId="43" xpath="/ns1:Root/ns1:Prog/ns1:Target_P6_8" xmlDataType="double"/>
    </xmlCellPr>
  </singleXmlCell>
  <singleXmlCell id="738" xr6:uid="{00000000-000C-0000-FFFF-FFFF04010000}" r="L130" connectionId="0">
    <xmlCellPr id="1" xr6:uid="{00000000-0010-0000-0401-000001000000}" uniqueName="1">
      <xmlPr mapId="43" xpath="/ns1:Root/ns1:Prog/ns1:Target_P5_8" xmlDataType="string"/>
    </xmlCellPr>
  </singleXmlCell>
  <singleXmlCell id="737" xr6:uid="{00000000-000C-0000-FFFF-FFFF05010000}" r="K130" connectionId="0">
    <xmlCellPr id="1" xr6:uid="{00000000-0010-0000-0501-000001000000}" uniqueName="1">
      <xmlPr mapId="43" xpath="/ns1:Root/ns1:Prog/ns1:Target_P4_8" xmlDataType="double"/>
    </xmlCellPr>
  </singleXmlCell>
  <singleXmlCell id="736" xr6:uid="{00000000-000C-0000-FFFF-FFFF06010000}" r="J130" connectionId="0">
    <xmlCellPr id="1" xr6:uid="{00000000-0010-0000-0601-000001000000}" uniqueName="1">
      <xmlPr mapId="43" xpath="/ns1:Root/ns1:Prog/ns1:Target_P3_8" xmlDataType="string"/>
    </xmlCellPr>
  </singleXmlCell>
  <singleXmlCell id="735" xr6:uid="{00000000-000C-0000-FFFF-FFFF07010000}" r="I130" connectionId="0">
    <xmlCellPr id="1" xr6:uid="{00000000-0010-0000-0701-000001000000}" uniqueName="1">
      <xmlPr mapId="43" xpath="/ns1:Root/ns1:Prog/ns1:Target_P2_8" xmlDataType="double"/>
    </xmlCellPr>
  </singleXmlCell>
  <singleXmlCell id="734" xr6:uid="{00000000-000C-0000-FFFF-FFFF08010000}" r="H130" connectionId="0">
    <xmlCellPr id="1" xr6:uid="{00000000-0010-0000-0801-000001000000}" uniqueName="1">
      <xmlPr mapId="43" xpath="/ns1:Root/ns1:Prog/ns1:Target_P1_8" xmlDataType="string"/>
    </xmlCellPr>
  </singleXmlCell>
  <singleXmlCell id="733" xr6:uid="{00000000-000C-0000-FFFF-FFFF09010000}" r="S127" connectionId="0">
    <xmlCellPr id="1" xr6:uid="{00000000-0010-0000-0901-000001000000}" uniqueName="1">
      <xmlPr mapId="43" xpath="/ns1:Root/ns1:Prog/ns1:Achieved__P12_7" xmlDataType="string"/>
    </xmlCellPr>
  </singleXmlCell>
  <singleXmlCell id="732" xr6:uid="{00000000-000C-0000-FFFF-FFFF0A010000}" r="R127" connectionId="0">
    <xmlCellPr id="1" xr6:uid="{00000000-0010-0000-0A01-000001000000}" uniqueName="1">
      <xmlPr mapId="43" xpath="/ns1:Root/ns1:Prog/ns1:Achieved__P11_7" xmlDataType="string"/>
    </xmlCellPr>
  </singleXmlCell>
  <singleXmlCell id="731" xr6:uid="{00000000-000C-0000-FFFF-FFFF0B010000}" r="Q127" connectionId="0">
    <xmlCellPr id="1" xr6:uid="{00000000-0010-0000-0B01-000001000000}" uniqueName="1">
      <xmlPr mapId="43" xpath="/ns1:Root/ns1:Prog/ns1:Achieved__P10_7" xmlDataType="string"/>
    </xmlCellPr>
  </singleXmlCell>
  <singleXmlCell id="730" xr6:uid="{00000000-000C-0000-FFFF-FFFF0C010000}" r="P127" connectionId="0">
    <xmlCellPr id="1" xr6:uid="{00000000-0010-0000-0C01-000001000000}" uniqueName="1">
      <xmlPr mapId="43" xpath="/ns1:Root/ns1:Prog/ns1:Achieved__P9_7" xmlDataType="string"/>
    </xmlCellPr>
  </singleXmlCell>
  <singleXmlCell id="729" xr6:uid="{00000000-000C-0000-FFFF-FFFF0D010000}" r="O127" connectionId="0">
    <xmlCellPr id="1" xr6:uid="{00000000-0010-0000-0D01-000001000000}" uniqueName="1">
      <xmlPr mapId="43" xpath="/ns1:Root/ns1:Prog/ns1:Achieved__P8_7" xmlDataType="string"/>
    </xmlCellPr>
  </singleXmlCell>
  <singleXmlCell id="728" xr6:uid="{00000000-000C-0000-FFFF-FFFF0E010000}" r="N127" connectionId="0">
    <xmlCellPr id="1" xr6:uid="{00000000-0010-0000-0E01-000001000000}" uniqueName="1">
      <xmlPr mapId="43" xpath="/ns1:Root/ns1:Prog/ns1:Achieved__P7_7" xmlDataType="string"/>
    </xmlCellPr>
  </singleXmlCell>
  <singleXmlCell id="727" xr6:uid="{00000000-000C-0000-FFFF-FFFF0F010000}" r="M127" connectionId="0">
    <xmlCellPr id="1" xr6:uid="{00000000-0010-0000-0F01-000001000000}" uniqueName="1">
      <xmlPr mapId="43" xpath="/ns1:Root/ns1:Prog/ns1:Achieved__P6_7" xmlDataType="string"/>
    </xmlCellPr>
  </singleXmlCell>
  <singleXmlCell id="726" xr6:uid="{00000000-000C-0000-FFFF-FFFF10010000}" r="L127" connectionId="0">
    <xmlCellPr id="1" xr6:uid="{00000000-0010-0000-1001-000001000000}" uniqueName="1">
      <xmlPr mapId="43" xpath="/ns1:Root/ns1:Prog/ns1:Achieved__P5_7" xmlDataType="string"/>
    </xmlCellPr>
  </singleXmlCell>
  <singleXmlCell id="725" xr6:uid="{00000000-000C-0000-FFFF-FFFF11010000}" r="K127" connectionId="0">
    <xmlCellPr id="1" xr6:uid="{00000000-0010-0000-1101-000001000000}" uniqueName="1">
      <xmlPr mapId="43" xpath="/ns1:Root/ns1:Prog/ns1:Achieved__P4_7" xmlDataType="double"/>
    </xmlCellPr>
  </singleXmlCell>
  <singleXmlCell id="724" xr6:uid="{00000000-000C-0000-FFFF-FFFF12010000}" r="J127" connectionId="0">
    <xmlCellPr id="1" xr6:uid="{00000000-0010-0000-1201-000001000000}" uniqueName="1">
      <xmlPr mapId="43" xpath="/ns1:Root/ns1:Prog/ns1:Achieved__P3_7" xmlDataType="double"/>
    </xmlCellPr>
  </singleXmlCell>
  <singleXmlCell id="723" xr6:uid="{00000000-000C-0000-FFFF-FFFF13010000}" r="I127" connectionId="0">
    <xmlCellPr id="1" xr6:uid="{00000000-0010-0000-1301-000001000000}" uniqueName="1">
      <xmlPr mapId="43" xpath="/ns1:Root/ns1:Prog/ns1:Achieved__P2_7" xmlDataType="double"/>
    </xmlCellPr>
  </singleXmlCell>
  <singleXmlCell id="722" xr6:uid="{00000000-000C-0000-FFFF-FFFF14010000}" r="H127" connectionId="0">
    <xmlCellPr id="1" xr6:uid="{00000000-0010-0000-1401-000001000000}" uniqueName="1">
      <xmlPr mapId="43" xpath="/ns1:Root/ns1:Prog/ns1:Achieved__P1_7" xmlDataType="double"/>
    </xmlCellPr>
  </singleXmlCell>
  <singleXmlCell id="721" xr6:uid="{00000000-000C-0000-FFFF-FFFF15010000}" r="S126" connectionId="0">
    <xmlCellPr id="1" xr6:uid="{00000000-0010-0000-1501-000001000000}" uniqueName="1">
      <xmlPr mapId="43" xpath="/ns1:Root/ns1:Prog/ns1:Target_P12_7" xmlDataType="double"/>
    </xmlCellPr>
  </singleXmlCell>
  <singleXmlCell id="720" xr6:uid="{00000000-000C-0000-FFFF-FFFF16010000}" r="R126" connectionId="0">
    <xmlCellPr id="1" xr6:uid="{00000000-0010-0000-1601-000001000000}" uniqueName="1">
      <xmlPr mapId="43" xpath="/ns1:Root/ns1:Prog/ns1:Target_P11_7" xmlDataType="double"/>
    </xmlCellPr>
  </singleXmlCell>
  <singleXmlCell id="719" xr6:uid="{00000000-000C-0000-FFFF-FFFF17010000}" r="Q126" connectionId="0">
    <xmlCellPr id="1" xr6:uid="{00000000-0010-0000-1701-000001000000}" uniqueName="1">
      <xmlPr mapId="43" xpath="/ns1:Root/ns1:Prog/ns1:Target_P10_7" xmlDataType="double"/>
    </xmlCellPr>
  </singleXmlCell>
  <singleXmlCell id="718" xr6:uid="{00000000-000C-0000-FFFF-FFFF18010000}" r="P126" connectionId="0">
    <xmlCellPr id="1" xr6:uid="{00000000-0010-0000-1801-000001000000}" uniqueName="1">
      <xmlPr mapId="43" xpath="/ns1:Root/ns1:Prog/ns1:Target_P9_7" xmlDataType="double"/>
    </xmlCellPr>
  </singleXmlCell>
  <singleXmlCell id="717" xr6:uid="{00000000-000C-0000-FFFF-FFFF19010000}" r="O126" connectionId="0">
    <xmlCellPr id="1" xr6:uid="{00000000-0010-0000-1901-000001000000}" uniqueName="1">
      <xmlPr mapId="43" xpath="/ns1:Root/ns1:Prog/ns1:Target_P8_7" xmlDataType="double"/>
    </xmlCellPr>
  </singleXmlCell>
  <singleXmlCell id="716" xr6:uid="{00000000-000C-0000-FFFF-FFFF1A010000}" r="N126" connectionId="0">
    <xmlCellPr id="1" xr6:uid="{00000000-0010-0000-1A01-000001000000}" uniqueName="1">
      <xmlPr mapId="43" xpath="/ns1:Root/ns1:Prog/ns1:Target_P7_7" xmlDataType="double"/>
    </xmlCellPr>
  </singleXmlCell>
  <singleXmlCell id="715" xr6:uid="{00000000-000C-0000-FFFF-FFFF1B010000}" r="M126" connectionId="0">
    <xmlCellPr id="1" xr6:uid="{00000000-0010-0000-1B01-000001000000}" uniqueName="1">
      <xmlPr mapId="43" xpath="/ns1:Root/ns1:Prog/ns1:Target_P6_7" xmlDataType="double"/>
    </xmlCellPr>
  </singleXmlCell>
  <singleXmlCell id="714" xr6:uid="{00000000-000C-0000-FFFF-FFFF1C010000}" r="L126" connectionId="0">
    <xmlCellPr id="1" xr6:uid="{00000000-0010-0000-1C01-000001000000}" uniqueName="1">
      <xmlPr mapId="43" xpath="/ns1:Root/ns1:Prog/ns1:Target_P5_7" xmlDataType="double"/>
    </xmlCellPr>
  </singleXmlCell>
  <singleXmlCell id="713" xr6:uid="{00000000-000C-0000-FFFF-FFFF1D010000}" r="K126" connectionId="0">
    <xmlCellPr id="1" xr6:uid="{00000000-0010-0000-1D01-000001000000}" uniqueName="1">
      <xmlPr mapId="43" xpath="/ns1:Root/ns1:Prog/ns1:Target_P4_7" xmlDataType="double"/>
    </xmlCellPr>
  </singleXmlCell>
  <singleXmlCell id="712" xr6:uid="{00000000-000C-0000-FFFF-FFFF1E010000}" r="J126" connectionId="0">
    <xmlCellPr id="1" xr6:uid="{00000000-0010-0000-1E01-000001000000}" uniqueName="1">
      <xmlPr mapId="43" xpath="/ns1:Root/ns1:Prog/ns1:Target_P3_7" xmlDataType="double"/>
    </xmlCellPr>
  </singleXmlCell>
  <singleXmlCell id="711" xr6:uid="{00000000-000C-0000-FFFF-FFFF1F010000}" r="I126" connectionId="0">
    <xmlCellPr id="1" xr6:uid="{00000000-0010-0000-1F01-000001000000}" uniqueName="1">
      <xmlPr mapId="43" xpath="/ns1:Root/ns1:Prog/ns1:Target_P2_7" xmlDataType="double"/>
    </xmlCellPr>
  </singleXmlCell>
  <singleXmlCell id="710" xr6:uid="{00000000-000C-0000-FFFF-FFFF20010000}" r="H126" connectionId="0">
    <xmlCellPr id="1" xr6:uid="{00000000-0010-0000-2001-000001000000}" uniqueName="1">
      <xmlPr mapId="43" xpath="/ns1:Root/ns1:Prog/ns1:Target_P1_7" xmlDataType="double"/>
    </xmlCellPr>
  </singleXmlCell>
  <singleXmlCell id="815" xr6:uid="{00000000-000C-0000-FFFF-FFFF21010000}" r="F120" connectionId="0">
    <xmlCellPr id="1" xr6:uid="{00000000-0010-0000-2101-000001000000}" uniqueName="1">
      <xmlPr mapId="43" xpath="/ns1:Root/ns1:P3_Tied" xmlDataType="string"/>
    </xmlCellPr>
  </singleXmlCell>
  <singleXmlCell id="814" xr6:uid="{00000000-000C-0000-FFFF-FFFF22010000}" r="E120" connectionId="0">
    <xmlCellPr id="1" xr6:uid="{00000000-0010-0000-2201-000001000000}" uniqueName="1">
      <xmlPr mapId="43" xpath="/ns1:Root/ns1:P3_Code" xmlDataType="double"/>
    </xmlCellPr>
  </singleXmlCell>
  <singleXmlCell id="813" xr6:uid="{00000000-000C-0000-FFFF-FFFF23010000}" r="B120" connectionId="0">
    <xmlCellPr id="1" xr6:uid="{00000000-0010-0000-2301-000001000000}" uniqueName="1">
      <xmlPr mapId="43" xpath="/ns1:Root/ns1:P3" xmlDataType="string"/>
    </xmlCellPr>
  </singleXmlCell>
  <singleXmlCell id="637" xr6:uid="{00000000-000C-0000-FFFF-FFFF24010000}" r="S121" connectionId="0">
    <xmlCellPr id="1" xr6:uid="{00000000-0010-0000-2401-000001000000}" uniqueName="1">
      <xmlPr mapId="43" xpath="/ns1:Root/ns1:Prog/ns1:Achieved__P12_3" xmlDataType="string"/>
    </xmlCellPr>
  </singleXmlCell>
  <singleXmlCell id="636" xr6:uid="{00000000-000C-0000-FFFF-FFFF25010000}" r="R121" connectionId="0">
    <xmlCellPr id="1" xr6:uid="{00000000-0010-0000-2501-000001000000}" uniqueName="1">
      <xmlPr mapId="43" xpath="/ns1:Root/ns1:Prog/ns1:Achieved__P11_3" xmlDataType="string"/>
    </xmlCellPr>
  </singleXmlCell>
  <singleXmlCell id="635" xr6:uid="{00000000-000C-0000-FFFF-FFFF26010000}" r="Q121" connectionId="0">
    <xmlCellPr id="1" xr6:uid="{00000000-0010-0000-2601-000001000000}" uniqueName="1">
      <xmlPr mapId="43" xpath="/ns1:Root/ns1:Prog/ns1:Achieved__P10_3" xmlDataType="string"/>
    </xmlCellPr>
  </singleXmlCell>
  <singleXmlCell id="634" xr6:uid="{00000000-000C-0000-FFFF-FFFF27010000}" r="P121" connectionId="0">
    <xmlCellPr id="1" xr6:uid="{00000000-0010-0000-2701-000001000000}" uniqueName="1">
      <xmlPr mapId="43" xpath="/ns1:Root/ns1:Prog/ns1:Achieved__P9_3" xmlDataType="string"/>
    </xmlCellPr>
  </singleXmlCell>
  <singleXmlCell id="633" xr6:uid="{00000000-000C-0000-FFFF-FFFF28010000}" r="O121" connectionId="0">
    <xmlCellPr id="1" xr6:uid="{00000000-0010-0000-2801-000001000000}" uniqueName="1">
      <xmlPr mapId="43" xpath="/ns1:Root/ns1:Prog/ns1:Achieved__P8_3" xmlDataType="string"/>
    </xmlCellPr>
  </singleXmlCell>
  <singleXmlCell id="632" xr6:uid="{00000000-000C-0000-FFFF-FFFF29010000}" r="N121" connectionId="0">
    <xmlCellPr id="1" xr6:uid="{00000000-0010-0000-2901-000001000000}" uniqueName="1">
      <xmlPr mapId="43" xpath="/ns1:Root/ns1:Prog/ns1:Achieved__P7_3" xmlDataType="string"/>
    </xmlCellPr>
  </singleXmlCell>
  <singleXmlCell id="631" xr6:uid="{00000000-000C-0000-FFFF-FFFF2A010000}" r="M121" connectionId="0">
    <xmlCellPr id="1" xr6:uid="{00000000-0010-0000-2A01-000001000000}" uniqueName="1">
      <xmlPr mapId="43" xpath="/ns1:Root/ns1:Prog/ns1:Achieved__P6_3" xmlDataType="string"/>
    </xmlCellPr>
  </singleXmlCell>
  <singleXmlCell id="630" xr6:uid="{00000000-000C-0000-FFFF-FFFF2B010000}" r="L121" connectionId="0">
    <xmlCellPr id="1" xr6:uid="{00000000-0010-0000-2B01-000001000000}" uniqueName="1">
      <xmlPr mapId="43" xpath="/ns1:Root/ns1:Prog/ns1:Achieved__P5_3" xmlDataType="string"/>
    </xmlCellPr>
  </singleXmlCell>
  <singleXmlCell id="629" xr6:uid="{00000000-000C-0000-FFFF-FFFF2C010000}" r="K121" connectionId="0">
    <xmlCellPr id="1" xr6:uid="{00000000-0010-0000-2C01-000001000000}" uniqueName="1">
      <xmlPr mapId="43" xpath="/ns1:Root/ns1:Prog/ns1:Achieved__P4_3" xmlDataType="double"/>
    </xmlCellPr>
  </singleXmlCell>
  <singleXmlCell id="628" xr6:uid="{00000000-000C-0000-FFFF-FFFF2D010000}" r="J121" connectionId="0">
    <xmlCellPr id="1" xr6:uid="{00000000-0010-0000-2D01-000001000000}" uniqueName="1">
      <xmlPr mapId="43" xpath="/ns1:Root/ns1:Prog/ns1:Achieved__P3_3" xmlDataType="string"/>
    </xmlCellPr>
  </singleXmlCell>
  <singleXmlCell id="627" xr6:uid="{00000000-000C-0000-FFFF-FFFF2E010000}" r="I121" connectionId="0">
    <xmlCellPr id="1" xr6:uid="{00000000-0010-0000-2E01-000001000000}" uniqueName="1">
      <xmlPr mapId="43" xpath="/ns1:Root/ns1:Prog/ns1:Achieved__P2_3" xmlDataType="double"/>
    </xmlCellPr>
  </singleXmlCell>
  <singleXmlCell id="626" xr6:uid="{00000000-000C-0000-FFFF-FFFF2F010000}" r="H121" connectionId="0">
    <xmlCellPr id="1" xr6:uid="{00000000-0010-0000-2F01-000001000000}" uniqueName="1">
      <xmlPr mapId="43" xpath="/ns1:Root/ns1:Prog/ns1:Achieved__P1_3" xmlDataType="string"/>
    </xmlCellPr>
  </singleXmlCell>
  <singleXmlCell id="625" xr6:uid="{00000000-000C-0000-FFFF-FFFF30010000}" r="S120" connectionId="0">
    <xmlCellPr id="1" xr6:uid="{00000000-0010-0000-3001-000001000000}" uniqueName="1">
      <xmlPr mapId="43" xpath="/ns1:Root/ns1:Prog/ns1:Target_P12_3" xmlDataType="double"/>
    </xmlCellPr>
  </singleXmlCell>
  <singleXmlCell id="624" xr6:uid="{00000000-000C-0000-FFFF-FFFF31010000}" r="R120" connectionId="0">
    <xmlCellPr id="1" xr6:uid="{00000000-0010-0000-3101-000001000000}" uniqueName="1">
      <xmlPr mapId="43" xpath="/ns1:Root/ns1:Prog/ns1:Target_P11_3" xmlDataType="string"/>
    </xmlCellPr>
  </singleXmlCell>
  <singleXmlCell id="623" xr6:uid="{00000000-000C-0000-FFFF-FFFF32010000}" r="Q120" connectionId="0">
    <xmlCellPr id="1" xr6:uid="{00000000-0010-0000-3201-000001000000}" uniqueName="1">
      <xmlPr mapId="43" xpath="/ns1:Root/ns1:Prog/ns1:Target_P10_3" xmlDataType="string"/>
    </xmlCellPr>
  </singleXmlCell>
  <singleXmlCell id="622" xr6:uid="{00000000-000C-0000-FFFF-FFFF33010000}" r="P120" connectionId="0">
    <xmlCellPr id="1" xr6:uid="{00000000-0010-0000-3301-000001000000}" uniqueName="1">
      <xmlPr mapId="43" xpath="/ns1:Root/ns1:Prog/ns1:Target_P9_3" xmlDataType="double"/>
    </xmlCellPr>
  </singleXmlCell>
  <singleXmlCell id="621" xr6:uid="{00000000-000C-0000-FFFF-FFFF34010000}" r="O120" connectionId="0">
    <xmlCellPr id="1" xr6:uid="{00000000-0010-0000-3401-000001000000}" uniqueName="1">
      <xmlPr mapId="43" xpath="/ns1:Root/ns1:Prog/ns1:Target_P8_3" xmlDataType="double"/>
    </xmlCellPr>
  </singleXmlCell>
  <singleXmlCell id="620" xr6:uid="{00000000-000C-0000-FFFF-FFFF35010000}" r="N120" connectionId="0">
    <xmlCellPr id="1" xr6:uid="{00000000-0010-0000-3501-000001000000}" uniqueName="1">
      <xmlPr mapId="43" xpath="/ns1:Root/ns1:Prog/ns1:Target_P7_3" xmlDataType="double"/>
    </xmlCellPr>
  </singleXmlCell>
  <singleXmlCell id="619" xr6:uid="{00000000-000C-0000-FFFF-FFFF36010000}" r="M120" connectionId="0">
    <xmlCellPr id="1" xr6:uid="{00000000-0010-0000-3601-000001000000}" uniqueName="1">
      <xmlPr mapId="43" xpath="/ns1:Root/ns1:Prog/ns1:Target_P6_3" xmlDataType="double"/>
    </xmlCellPr>
  </singleXmlCell>
  <singleXmlCell id="618" xr6:uid="{00000000-000C-0000-FFFF-FFFF37010000}" r="L120" connectionId="0">
    <xmlCellPr id="1" xr6:uid="{00000000-0010-0000-3701-000001000000}" uniqueName="1">
      <xmlPr mapId="43" xpath="/ns1:Root/ns1:Prog/ns1:Target_P5_3" xmlDataType="double"/>
    </xmlCellPr>
  </singleXmlCell>
  <singleXmlCell id="617" xr6:uid="{00000000-000C-0000-FFFF-FFFF38010000}" r="K120" connectionId="0">
    <xmlCellPr id="1" xr6:uid="{00000000-0010-0000-3801-000001000000}" uniqueName="1">
      <xmlPr mapId="43" xpath="/ns1:Root/ns1:Prog/ns1:Target_P4_3" xmlDataType="double"/>
    </xmlCellPr>
  </singleXmlCell>
  <singleXmlCell id="616" xr6:uid="{00000000-000C-0000-FFFF-FFFF39010000}" r="J120" connectionId="0">
    <xmlCellPr id="1" xr6:uid="{00000000-0010-0000-3901-000001000000}" uniqueName="1">
      <xmlPr mapId="43" xpath="/ns1:Root/ns1:Prog/ns1:Target_P3_3" xmlDataType="double"/>
    </xmlCellPr>
  </singleXmlCell>
  <singleXmlCell id="615" xr6:uid="{00000000-000C-0000-FFFF-FFFF3A010000}" r="I120" connectionId="0">
    <xmlCellPr id="1" xr6:uid="{00000000-0010-0000-3A01-000001000000}" uniqueName="1">
      <xmlPr mapId="43" xpath="/ns1:Root/ns1:Prog/ns1:Target_P2_3" xmlDataType="double"/>
    </xmlCellPr>
  </singleXmlCell>
  <singleXmlCell id="614" xr6:uid="{00000000-000C-0000-FFFF-FFFF3B010000}" r="H120" connectionId="0">
    <xmlCellPr id="1" xr6:uid="{00000000-0010-0000-3B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48" t="str">
        <f>+'Detail despre Grant'!B3:J3</f>
        <v>Tabel Programatic de Evaluare:  Moldova - TB</v>
      </c>
      <c r="C2" s="548"/>
      <c r="D2" s="548"/>
      <c r="E2" s="548"/>
      <c r="F2" s="548"/>
      <c r="G2" s="548"/>
      <c r="H2" s="548"/>
      <c r="I2" s="548"/>
      <c r="J2" s="548"/>
      <c r="K2" s="548"/>
      <c r="L2" s="548"/>
      <c r="M2" s="1"/>
      <c r="N2" s="1"/>
      <c r="O2" s="1"/>
    </row>
    <row r="4" spans="2:15" ht="21">
      <c r="B4" s="549" t="str">
        <f>+IF('Introducerea datelor'!G6="Please Select", "",'Introducerea datelor'!G6) &amp;"  "&amp;+IF('Introducerea datelor'!G8="Please Select", "", 'Introducerea datelor'!G8&amp;",  ")&amp;+IF('Introducerea datelor'!I8="Please Select","",'Introducerea datelor'!I8)</f>
        <v>TB  Period 1</v>
      </c>
      <c r="C4" s="549"/>
      <c r="D4" s="549"/>
      <c r="E4" s="550"/>
      <c r="F4" s="189"/>
      <c r="G4" s="189"/>
      <c r="H4" s="275" t="str">
        <f>+'Introducerea datelor'!B6&amp;" "&amp;+'Introducerea datelor'!C6</f>
        <v>No. Grantului : MDA-T-PCIMU (#678)</v>
      </c>
      <c r="I4" s="275"/>
      <c r="J4" s="188"/>
      <c r="K4" s="189"/>
      <c r="L4" s="189"/>
    </row>
    <row r="22" spans="2:12" ht="26.25">
      <c r="B22" s="551" t="s">
        <v>276</v>
      </c>
      <c r="C22" s="552"/>
      <c r="D22" s="552"/>
      <c r="E22" s="552"/>
      <c r="F22" s="552"/>
      <c r="G22" s="552"/>
      <c r="H22" s="552"/>
      <c r="I22" s="552"/>
      <c r="J22" s="552"/>
      <c r="K22" s="552"/>
      <c r="L22" s="552"/>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48"/>
  <sheetViews>
    <sheetView showGridLines="0" view="pageBreakPreview" zoomScale="80" zoomScaleNormal="70" zoomScaleSheetLayoutView="80" workbookViewId="0">
      <pane ySplit="2" topLeftCell="A18" activePane="bottomLeft" state="frozen"/>
      <selection activeCell="E22" sqref="E22"/>
      <selection pane="bottomLeft" activeCell="B23" sqref="B23:D24"/>
    </sheetView>
  </sheetViews>
  <sheetFormatPr defaultColWidth="11" defaultRowHeight="15"/>
  <cols>
    <col min="1" max="1" width="2.7109375" customWidth="1"/>
    <col min="2" max="2" width="21.42578125" customWidth="1"/>
    <col min="3" max="3" width="18" customWidth="1"/>
    <col min="4" max="4" width="17"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8554687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8" t="str">
        <f>+"Tabel Programatic de Evaluare: "&amp;" "&amp;+IF('Introducerea datelor'!C4="Please Select","",'Introducerea datelor'!C4&amp;" - ")&amp;+IF('Introducerea datelor'!G6="Please Select","",'Introducerea datelor'!G6)</f>
        <v>Tabel Programatic de Evaluare:  Moldova - TB</v>
      </c>
      <c r="C2" s="568"/>
      <c r="D2" s="568"/>
      <c r="E2" s="568"/>
      <c r="F2" s="568"/>
      <c r="G2" s="568"/>
      <c r="H2" s="568"/>
      <c r="I2" s="568"/>
      <c r="J2" s="568"/>
      <c r="K2" s="568"/>
      <c r="L2" s="568"/>
      <c r="M2" s="568"/>
    </row>
    <row r="3" spans="1:15" ht="15.75" customHeight="1">
      <c r="A3" s="3"/>
      <c r="B3" s="180"/>
      <c r="C3" s="180"/>
      <c r="D3" s="180"/>
      <c r="E3" s="180"/>
      <c r="F3" s="180"/>
      <c r="G3" s="180"/>
      <c r="H3" s="180"/>
      <c r="I3" s="180"/>
      <c r="J3" s="180"/>
      <c r="K3" s="181"/>
      <c r="L3" s="181"/>
      <c r="M3" s="3"/>
    </row>
    <row r="5" spans="1:15" ht="23.25">
      <c r="B5" s="569" t="s">
        <v>228</v>
      </c>
      <c r="C5" s="569"/>
      <c r="D5" s="569"/>
      <c r="E5" s="569"/>
      <c r="F5" s="569"/>
      <c r="G5" s="569"/>
      <c r="H5" s="569"/>
      <c r="I5" s="569"/>
      <c r="J5" s="569"/>
      <c r="K5" s="569"/>
      <c r="L5" s="569"/>
      <c r="M5" s="569"/>
      <c r="N5" s="569"/>
      <c r="O5" s="569"/>
    </row>
    <row r="7" spans="1:15" ht="21">
      <c r="B7" s="570" t="s">
        <v>217</v>
      </c>
      <c r="C7" s="571"/>
      <c r="D7" s="572"/>
      <c r="E7" s="570" t="s">
        <v>218</v>
      </c>
      <c r="F7" s="571"/>
      <c r="G7" s="571"/>
      <c r="H7" s="571"/>
      <c r="I7" s="572"/>
      <c r="J7" s="570" t="s">
        <v>219</v>
      </c>
      <c r="K7" s="571"/>
      <c r="L7" s="572"/>
      <c r="M7" s="570" t="s">
        <v>253</v>
      </c>
      <c r="N7" s="571"/>
      <c r="O7" s="572"/>
    </row>
    <row r="8" spans="1:15" ht="92.25" customHeight="1">
      <c r="B8" s="573" t="str">
        <f>+'Introducerea datelor'!B27</f>
        <v>F1: Bugetul și debursările de către Fondul Global</v>
      </c>
      <c r="C8" s="574"/>
      <c r="D8" s="575"/>
      <c r="E8" s="576" t="s">
        <v>272</v>
      </c>
      <c r="F8" s="577"/>
      <c r="G8" s="577"/>
      <c r="H8" s="577"/>
      <c r="I8" s="578"/>
      <c r="J8" s="555" t="s">
        <v>254</v>
      </c>
      <c r="K8" s="556"/>
      <c r="L8" s="557"/>
      <c r="M8" s="555" t="s">
        <v>273</v>
      </c>
      <c r="N8" s="556"/>
      <c r="O8" s="557"/>
    </row>
    <row r="9" spans="1:15" ht="110.25" customHeight="1">
      <c r="B9" s="573" t="str">
        <f>+'Introducerea datelor'!B36</f>
        <v>F2: Bugetul și cheltuielile actuale după Obiectivele Grantului</v>
      </c>
      <c r="C9" s="574"/>
      <c r="D9" s="575"/>
      <c r="E9" s="563" t="s">
        <v>262</v>
      </c>
      <c r="F9" s="564"/>
      <c r="G9" s="564"/>
      <c r="H9" s="564"/>
      <c r="I9" s="565"/>
      <c r="J9" s="555" t="s">
        <v>256</v>
      </c>
      <c r="K9" s="556"/>
      <c r="L9" s="557"/>
      <c r="M9" s="555" t="s">
        <v>273</v>
      </c>
      <c r="N9" s="556"/>
      <c r="O9" s="557"/>
    </row>
    <row r="10" spans="1:15" ht="231.75" customHeight="1">
      <c r="B10" s="558" t="str">
        <f>+'Introducerea datelor'!B48</f>
        <v>F3: Debursări și cheltuieli</v>
      </c>
      <c r="C10" s="561"/>
      <c r="D10" s="562"/>
      <c r="E10" s="563" t="s">
        <v>274</v>
      </c>
      <c r="F10" s="564"/>
      <c r="G10" s="564"/>
      <c r="H10" s="564"/>
      <c r="I10" s="565"/>
      <c r="J10" s="555" t="s">
        <v>263</v>
      </c>
      <c r="K10" s="556"/>
      <c r="L10" s="557"/>
      <c r="M10" s="555" t="s">
        <v>255</v>
      </c>
      <c r="N10" s="556"/>
      <c r="O10" s="557"/>
    </row>
    <row r="11" spans="1:15" ht="279.75" customHeight="1">
      <c r="B11" s="558" t="str">
        <f>+'Introducerea datelor'!B57</f>
        <v xml:space="preserve">F4: Ultima perioadă de raportare și debursare a RP </v>
      </c>
      <c r="C11" s="559"/>
      <c r="D11" s="560"/>
      <c r="E11" s="563" t="s">
        <v>277</v>
      </c>
      <c r="F11" s="564"/>
      <c r="G11" s="564"/>
      <c r="H11" s="564"/>
      <c r="I11" s="565"/>
      <c r="J11" s="555" t="s">
        <v>264</v>
      </c>
      <c r="K11" s="556"/>
      <c r="L11" s="557"/>
      <c r="M11" s="555" t="s">
        <v>222</v>
      </c>
      <c r="N11" s="556"/>
      <c r="O11" s="557"/>
    </row>
    <row r="12" spans="1:15" s="19" customFormat="1">
      <c r="B12" s="566"/>
      <c r="C12" s="566"/>
      <c r="D12" s="566"/>
      <c r="E12" s="554"/>
      <c r="F12" s="554"/>
      <c r="G12" s="554"/>
      <c r="H12" s="554"/>
      <c r="I12" s="554"/>
      <c r="J12" s="554"/>
      <c r="K12" s="554"/>
      <c r="L12" s="554"/>
      <c r="M12" s="554"/>
      <c r="N12" s="554"/>
      <c r="O12" s="554"/>
    </row>
    <row r="13" spans="1:15" s="19" customFormat="1" ht="9" customHeight="1">
      <c r="B13" s="567"/>
      <c r="C13" s="567"/>
      <c r="D13" s="567"/>
      <c r="E13" s="553"/>
      <c r="F13" s="553"/>
      <c r="G13" s="553"/>
      <c r="H13" s="553"/>
      <c r="I13" s="553"/>
      <c r="J13" s="553"/>
      <c r="K13" s="553"/>
      <c r="L13" s="553"/>
      <c r="M13" s="553"/>
      <c r="N13" s="553"/>
      <c r="O13" s="553"/>
    </row>
    <row r="14" spans="1:15" s="19" customFormat="1" ht="9.75" customHeight="1">
      <c r="B14" s="567"/>
      <c r="C14" s="567"/>
      <c r="D14" s="567"/>
      <c r="E14" s="553"/>
      <c r="F14" s="553"/>
      <c r="G14" s="553"/>
      <c r="H14" s="553"/>
      <c r="I14" s="553"/>
      <c r="J14" s="553"/>
      <c r="K14" s="553"/>
      <c r="L14" s="553"/>
      <c r="M14" s="553"/>
      <c r="N14" s="553"/>
      <c r="O14" s="553"/>
    </row>
    <row r="15" spans="1:15" s="19" customFormat="1">
      <c r="B15" s="567"/>
      <c r="C15" s="567"/>
      <c r="D15" s="567"/>
      <c r="E15" s="553"/>
      <c r="F15" s="553"/>
      <c r="G15" s="553"/>
      <c r="H15" s="553"/>
      <c r="I15" s="553"/>
      <c r="J15" s="553"/>
      <c r="K15" s="553"/>
      <c r="L15" s="553"/>
      <c r="M15" s="553"/>
      <c r="N15" s="553"/>
      <c r="O15" s="553"/>
    </row>
    <row r="16" spans="1:15" ht="18" customHeight="1">
      <c r="B16" s="569" t="s">
        <v>229</v>
      </c>
      <c r="C16" s="569"/>
      <c r="D16" s="569"/>
      <c r="E16" s="569"/>
      <c r="F16" s="569"/>
      <c r="G16" s="569"/>
      <c r="H16" s="569"/>
      <c r="I16" s="569"/>
      <c r="J16" s="569"/>
      <c r="K16" s="569"/>
      <c r="L16" s="569"/>
      <c r="M16" s="569"/>
      <c r="N16" s="569"/>
      <c r="O16" s="569"/>
    </row>
    <row r="17" spans="1:15" ht="9" customHeight="1"/>
    <row r="18" spans="1:15" ht="21">
      <c r="B18" s="579" t="s">
        <v>217</v>
      </c>
      <c r="C18" s="580"/>
      <c r="D18" s="581"/>
      <c r="E18" s="579" t="s">
        <v>218</v>
      </c>
      <c r="F18" s="580"/>
      <c r="G18" s="580"/>
      <c r="H18" s="580"/>
      <c r="I18" s="581"/>
      <c r="J18" s="579" t="s">
        <v>219</v>
      </c>
      <c r="K18" s="580"/>
      <c r="L18" s="581"/>
      <c r="M18" s="579" t="s">
        <v>220</v>
      </c>
      <c r="N18" s="580"/>
      <c r="O18" s="581"/>
    </row>
    <row r="19" spans="1:15" ht="114" customHeight="1">
      <c r="B19" s="573" t="str">
        <f>+'Introducerea datelor'!B68</f>
        <v xml:space="preserve">M1: Statutul Condițiilor Precedente și a Acțiunilor Prestabilite în Timp </v>
      </c>
      <c r="C19" s="582"/>
      <c r="D19" s="583"/>
      <c r="E19" s="563" t="s">
        <v>227</v>
      </c>
      <c r="F19" s="564"/>
      <c r="G19" s="564"/>
      <c r="H19" s="564"/>
      <c r="I19" s="565"/>
      <c r="J19" s="555" t="s">
        <v>257</v>
      </c>
      <c r="K19" s="556"/>
      <c r="L19" s="557"/>
      <c r="M19" s="555" t="s">
        <v>258</v>
      </c>
      <c r="N19" s="556"/>
      <c r="O19" s="557"/>
    </row>
    <row r="20" spans="1:15" ht="91.5" customHeight="1">
      <c r="B20" s="573" t="str">
        <f>+'Introducerea datelor'!B75</f>
        <v xml:space="preserve">M2: Statutul pozițiilor cheie a RP </v>
      </c>
      <c r="C20" s="582"/>
      <c r="D20" s="583"/>
      <c r="E20" s="563" t="s">
        <v>275</v>
      </c>
      <c r="F20" s="564"/>
      <c r="G20" s="564"/>
      <c r="H20" s="564"/>
      <c r="I20" s="565"/>
      <c r="J20" s="555" t="s">
        <v>224</v>
      </c>
      <c r="K20" s="556"/>
      <c r="L20" s="557"/>
      <c r="M20" s="555" t="s">
        <v>223</v>
      </c>
      <c r="N20" s="556"/>
      <c r="O20" s="557"/>
    </row>
    <row r="21" spans="1:15" ht="171.75" customHeight="1">
      <c r="B21" s="573" t="str">
        <f>+'Introducerea datelor'!B80</f>
        <v xml:space="preserve">M3: Aranjamente contractuale (SR) </v>
      </c>
      <c r="C21" s="582"/>
      <c r="D21" s="583"/>
      <c r="E21" s="587" t="s">
        <v>0</v>
      </c>
      <c r="F21" s="564"/>
      <c r="G21" s="564"/>
      <c r="H21" s="564"/>
      <c r="I21" s="565"/>
      <c r="J21" s="555" t="s">
        <v>259</v>
      </c>
      <c r="K21" s="556"/>
      <c r="L21" s="557"/>
      <c r="M21" s="555" t="s">
        <v>260</v>
      </c>
      <c r="N21" s="556"/>
      <c r="O21" s="557"/>
    </row>
    <row r="22" spans="1:15" ht="74.25" customHeight="1">
      <c r="B22" s="573" t="str">
        <f>+'Introducerea datelor'!B85</f>
        <v>M4: Numărul rapoartelor complete recepționate la timp</v>
      </c>
      <c r="C22" s="582"/>
      <c r="D22" s="583"/>
      <c r="E22" s="587" t="s">
        <v>278</v>
      </c>
      <c r="F22" s="612"/>
      <c r="G22" s="612"/>
      <c r="H22" s="612"/>
      <c r="I22" s="613"/>
      <c r="J22" s="555" t="s">
        <v>265</v>
      </c>
      <c r="K22" s="556"/>
      <c r="L22" s="557"/>
      <c r="M22" s="555" t="s">
        <v>225</v>
      </c>
      <c r="N22" s="556"/>
      <c r="O22" s="557"/>
    </row>
    <row r="23" spans="1:15" ht="135" customHeight="1">
      <c r="B23" s="597" t="str">
        <f>+'Introducerea datelor'!B91</f>
        <v xml:space="preserve">M5: Bugetul și Procurarea produselor medicale, echipamentului medical, medicamentelor și produselor farmaceutice </v>
      </c>
      <c r="C23" s="598"/>
      <c r="D23" s="599"/>
      <c r="E23" s="584" t="s">
        <v>266</v>
      </c>
      <c r="F23" s="585"/>
      <c r="G23" s="585"/>
      <c r="H23" s="585"/>
      <c r="I23" s="586"/>
      <c r="J23" s="606" t="s">
        <v>221</v>
      </c>
      <c r="K23" s="607"/>
      <c r="L23" s="608"/>
      <c r="M23" s="606" t="s">
        <v>226</v>
      </c>
      <c r="N23" s="607"/>
      <c r="O23" s="608"/>
    </row>
    <row r="24" spans="1:15" ht="97.5" customHeight="1">
      <c r="B24" s="600"/>
      <c r="C24" s="601"/>
      <c r="D24" s="602"/>
      <c r="E24" s="603" t="s">
        <v>261</v>
      </c>
      <c r="F24" s="604"/>
      <c r="G24" s="604"/>
      <c r="H24" s="604"/>
      <c r="I24" s="605"/>
      <c r="J24" s="609"/>
      <c r="K24" s="610"/>
      <c r="L24" s="611"/>
      <c r="M24" s="609"/>
      <c r="N24" s="610"/>
      <c r="O24" s="611"/>
    </row>
    <row r="25" spans="1:15" ht="196.5" customHeight="1">
      <c r="B25" s="573" t="str">
        <f>+'Introducerea datelor'!B104</f>
        <v>M6: Diferență între stocul curent și stocul de siguranță</v>
      </c>
      <c r="C25" s="582"/>
      <c r="D25" s="583"/>
      <c r="E25" s="588" t="s">
        <v>279</v>
      </c>
      <c r="F25" s="589"/>
      <c r="G25" s="589"/>
      <c r="H25" s="589"/>
      <c r="I25" s="590"/>
      <c r="J25" s="591" t="s">
        <v>267</v>
      </c>
      <c r="K25" s="592"/>
      <c r="L25" s="593"/>
      <c r="M25" s="594" t="s">
        <v>268</v>
      </c>
      <c r="N25" s="595"/>
      <c r="O25" s="596"/>
    </row>
    <row r="26" spans="1:15" ht="11.25" customHeight="1"/>
    <row r="28" spans="1:15" ht="7.5" customHeight="1"/>
    <row r="29" spans="1:15" ht="9.75" customHeight="1">
      <c r="B29" s="206"/>
    </row>
    <row r="30" spans="1:15" ht="21" customHeight="1">
      <c r="B30" s="569" t="s">
        <v>424</v>
      </c>
      <c r="C30" s="569"/>
      <c r="D30" s="569"/>
      <c r="E30" s="569"/>
      <c r="F30" s="569"/>
      <c r="G30" s="569"/>
      <c r="H30" s="569"/>
      <c r="I30" s="569"/>
      <c r="J30" s="569"/>
      <c r="K30" s="569"/>
      <c r="L30" s="569"/>
      <c r="M30" s="569"/>
      <c r="N30" s="569"/>
      <c r="O30" s="569"/>
    </row>
    <row r="31" spans="1:15" ht="12.75" customHeight="1"/>
    <row r="32" spans="1:15" ht="28.5" customHeight="1">
      <c r="A32" s="203"/>
      <c r="B32" s="617" t="s">
        <v>252</v>
      </c>
      <c r="C32" s="618"/>
      <c r="D32" s="619"/>
      <c r="E32" s="620" t="s">
        <v>454</v>
      </c>
      <c r="F32" s="621"/>
      <c r="G32" s="621"/>
      <c r="H32" s="621"/>
      <c r="I32" s="622"/>
      <c r="J32" s="620" t="s">
        <v>412</v>
      </c>
      <c r="K32" s="621"/>
      <c r="L32" s="622"/>
      <c r="M32" s="620" t="s">
        <v>413</v>
      </c>
      <c r="N32" s="621"/>
      <c r="O32" s="622"/>
    </row>
    <row r="33" spans="1:15" ht="66.75" customHeight="1">
      <c r="A33" s="204"/>
      <c r="B33" s="623" t="s">
        <v>446</v>
      </c>
      <c r="C33" s="624"/>
      <c r="D33" s="625"/>
      <c r="E33" s="641" t="s">
        <v>416</v>
      </c>
      <c r="F33" s="642"/>
      <c r="G33" s="642"/>
      <c r="H33" s="642"/>
      <c r="I33" s="643"/>
      <c r="J33" s="626" t="s">
        <v>414</v>
      </c>
      <c r="K33" s="627"/>
      <c r="L33" s="628"/>
      <c r="M33" s="626" t="s">
        <v>415</v>
      </c>
      <c r="N33" s="627"/>
      <c r="O33" s="628"/>
    </row>
    <row r="34" spans="1:15" ht="63" customHeight="1">
      <c r="A34" s="204"/>
      <c r="B34" s="623" t="s">
        <v>447</v>
      </c>
      <c r="C34" s="624"/>
      <c r="D34" s="625"/>
      <c r="E34" s="641" t="s">
        <v>457</v>
      </c>
      <c r="F34" s="642"/>
      <c r="G34" s="642"/>
      <c r="H34" s="642"/>
      <c r="I34" s="643"/>
      <c r="J34" s="626" t="s">
        <v>414</v>
      </c>
      <c r="K34" s="627"/>
      <c r="L34" s="628"/>
      <c r="M34" s="649" t="s">
        <v>455</v>
      </c>
      <c r="N34" s="650"/>
      <c r="O34" s="651"/>
    </row>
    <row r="35" spans="1:15" ht="9.75" customHeight="1">
      <c r="A35" s="204"/>
      <c r="B35" s="638"/>
      <c r="C35" s="639"/>
      <c r="D35" s="640"/>
      <c r="E35" s="403"/>
      <c r="F35" s="401"/>
      <c r="G35" s="401"/>
      <c r="H35" s="401"/>
      <c r="I35" s="402"/>
      <c r="J35" s="403"/>
      <c r="K35" s="404"/>
      <c r="L35" s="405"/>
      <c r="M35" s="403"/>
      <c r="N35" s="404"/>
      <c r="O35" s="405"/>
    </row>
    <row r="36" spans="1:15" ht="76.5" customHeight="1">
      <c r="A36" s="204"/>
      <c r="B36" s="623" t="s">
        <v>448</v>
      </c>
      <c r="C36" s="624"/>
      <c r="D36" s="625"/>
      <c r="E36" s="626" t="s">
        <v>467</v>
      </c>
      <c r="F36" s="644"/>
      <c r="G36" s="644"/>
      <c r="H36" s="644"/>
      <c r="I36" s="645"/>
      <c r="J36" s="626" t="s">
        <v>426</v>
      </c>
      <c r="K36" s="627"/>
      <c r="L36" s="628"/>
      <c r="M36" s="626" t="s">
        <v>456</v>
      </c>
      <c r="N36" s="627"/>
      <c r="O36" s="628"/>
    </row>
    <row r="37" spans="1:15" ht="69" customHeight="1">
      <c r="A37" s="204"/>
      <c r="B37" s="623" t="s">
        <v>449</v>
      </c>
      <c r="C37" s="624"/>
      <c r="D37" s="625"/>
      <c r="E37" s="626" t="s">
        <v>459</v>
      </c>
      <c r="F37" s="627"/>
      <c r="G37" s="627"/>
      <c r="H37" s="627"/>
      <c r="I37" s="628"/>
      <c r="J37" s="626" t="s">
        <v>426</v>
      </c>
      <c r="K37" s="627"/>
      <c r="L37" s="628"/>
      <c r="M37" s="626" t="s">
        <v>463</v>
      </c>
      <c r="N37" s="627"/>
      <c r="O37" s="628"/>
    </row>
    <row r="38" spans="1:15" ht="9.75" customHeight="1">
      <c r="A38" s="204"/>
      <c r="B38" s="638"/>
      <c r="C38" s="639"/>
      <c r="D38" s="640"/>
      <c r="E38" s="403"/>
      <c r="F38" s="476"/>
      <c r="G38" s="476"/>
      <c r="H38" s="476"/>
      <c r="I38" s="477"/>
      <c r="J38" s="403"/>
      <c r="K38" s="404"/>
      <c r="L38" s="405"/>
      <c r="M38" s="403"/>
      <c r="N38" s="404"/>
      <c r="O38" s="405"/>
    </row>
    <row r="39" spans="1:15" ht="55.5" customHeight="1">
      <c r="A39" s="204"/>
      <c r="B39" s="623" t="s">
        <v>450</v>
      </c>
      <c r="C39" s="624"/>
      <c r="D39" s="625"/>
      <c r="E39" s="626" t="s">
        <v>462</v>
      </c>
      <c r="F39" s="627"/>
      <c r="G39" s="627"/>
      <c r="H39" s="627"/>
      <c r="I39" s="628"/>
      <c r="J39" s="626" t="s">
        <v>427</v>
      </c>
      <c r="K39" s="627"/>
      <c r="L39" s="628"/>
      <c r="M39" s="646" t="s">
        <v>466</v>
      </c>
      <c r="N39" s="647"/>
      <c r="O39" s="648"/>
    </row>
    <row r="40" spans="1:15" ht="68.25" customHeight="1">
      <c r="A40" s="204"/>
      <c r="B40" s="623" t="s">
        <v>451</v>
      </c>
      <c r="C40" s="624"/>
      <c r="D40" s="625"/>
      <c r="E40" s="626" t="s">
        <v>461</v>
      </c>
      <c r="F40" s="627"/>
      <c r="G40" s="627"/>
      <c r="H40" s="627"/>
      <c r="I40" s="628"/>
      <c r="J40" s="626" t="s">
        <v>427</v>
      </c>
      <c r="K40" s="627"/>
      <c r="L40" s="628"/>
      <c r="M40" s="626" t="s">
        <v>464</v>
      </c>
      <c r="N40" s="627"/>
      <c r="O40" s="628"/>
    </row>
    <row r="41" spans="1:15" ht="52.5" customHeight="1">
      <c r="B41" s="623" t="s">
        <v>452</v>
      </c>
      <c r="C41" s="624"/>
      <c r="D41" s="625"/>
      <c r="E41" s="626" t="s">
        <v>460</v>
      </c>
      <c r="F41" s="627"/>
      <c r="G41" s="627"/>
      <c r="H41" s="627"/>
      <c r="I41" s="628"/>
      <c r="J41" s="626" t="s">
        <v>427</v>
      </c>
      <c r="K41" s="627"/>
      <c r="L41" s="628"/>
      <c r="M41" s="626" t="s">
        <v>465</v>
      </c>
      <c r="N41" s="627"/>
      <c r="O41" s="628"/>
    </row>
    <row r="42" spans="1:15" ht="44.25" customHeight="1">
      <c r="B42" s="632" t="s">
        <v>236</v>
      </c>
      <c r="C42" s="633"/>
      <c r="D42" s="634"/>
      <c r="E42" s="635" t="s">
        <v>218</v>
      </c>
      <c r="F42" s="636"/>
      <c r="G42" s="636"/>
      <c r="H42" s="636"/>
      <c r="I42" s="637"/>
      <c r="J42" s="635" t="s">
        <v>219</v>
      </c>
      <c r="K42" s="636"/>
      <c r="L42" s="637"/>
      <c r="M42" s="635" t="s">
        <v>220</v>
      </c>
      <c r="N42" s="636"/>
      <c r="O42" s="637"/>
    </row>
    <row r="43" spans="1:15" ht="33.75" customHeight="1">
      <c r="B43" s="200"/>
      <c r="C43" s="201"/>
      <c r="D43" s="201"/>
      <c r="E43" s="195"/>
      <c r="F43" s="197"/>
      <c r="G43" s="197"/>
      <c r="H43" s="197"/>
      <c r="I43" s="197"/>
      <c r="J43" s="195"/>
      <c r="K43" s="195"/>
      <c r="L43" s="196"/>
      <c r="M43" s="194"/>
      <c r="N43" s="195"/>
      <c r="O43" s="196"/>
    </row>
    <row r="44" spans="1:15" ht="15.75" customHeight="1">
      <c r="B44" s="629" t="s">
        <v>235</v>
      </c>
      <c r="C44" s="630"/>
      <c r="D44" s="630"/>
      <c r="E44" s="630"/>
      <c r="F44" s="630"/>
      <c r="G44" s="630"/>
      <c r="H44" s="630"/>
      <c r="I44" s="630"/>
      <c r="J44" s="630"/>
      <c r="K44" s="630"/>
      <c r="L44" s="631"/>
      <c r="M44" s="614" t="s">
        <v>230</v>
      </c>
      <c r="N44" s="615"/>
      <c r="O44" s="616"/>
    </row>
    <row r="45" spans="1:15">
      <c r="D45" s="182"/>
    </row>
    <row r="47" spans="1:15">
      <c r="D47" s="182"/>
    </row>
    <row r="48" spans="1:15">
      <c r="D48" s="182"/>
    </row>
  </sheetData>
  <mergeCells count="109">
    <mergeCell ref="M32:O32"/>
    <mergeCell ref="J39:L39"/>
    <mergeCell ref="M33:O33"/>
    <mergeCell ref="E33:I33"/>
    <mergeCell ref="B34:D34"/>
    <mergeCell ref="B36:D36"/>
    <mergeCell ref="B37:D37"/>
    <mergeCell ref="E36:I36"/>
    <mergeCell ref="E37:I37"/>
    <mergeCell ref="J36:L36"/>
    <mergeCell ref="J37:L37"/>
    <mergeCell ref="M39:O39"/>
    <mergeCell ref="M34:O34"/>
    <mergeCell ref="B35:D35"/>
    <mergeCell ref="E34:I34"/>
    <mergeCell ref="J34:L34"/>
    <mergeCell ref="J33:L33"/>
    <mergeCell ref="M44:O44"/>
    <mergeCell ref="B30:O30"/>
    <mergeCell ref="B32:D32"/>
    <mergeCell ref="E32:I32"/>
    <mergeCell ref="J32:L32"/>
    <mergeCell ref="B33:D33"/>
    <mergeCell ref="B41:D41"/>
    <mergeCell ref="B40:D40"/>
    <mergeCell ref="E40:I40"/>
    <mergeCell ref="E41:I41"/>
    <mergeCell ref="J41:L41"/>
    <mergeCell ref="J40:L40"/>
    <mergeCell ref="M36:O36"/>
    <mergeCell ref="M37:O37"/>
    <mergeCell ref="B44:L44"/>
    <mergeCell ref="B42:D42"/>
    <mergeCell ref="E42:I42"/>
    <mergeCell ref="J42:L42"/>
    <mergeCell ref="M40:O40"/>
    <mergeCell ref="M41:O41"/>
    <mergeCell ref="M42:O42"/>
    <mergeCell ref="E39:I39"/>
    <mergeCell ref="B38:D38"/>
    <mergeCell ref="B39:D39"/>
    <mergeCell ref="E23:I23"/>
    <mergeCell ref="J22:L22"/>
    <mergeCell ref="B22:D22"/>
    <mergeCell ref="E21:I21"/>
    <mergeCell ref="E25:I25"/>
    <mergeCell ref="J25:L25"/>
    <mergeCell ref="M25:O25"/>
    <mergeCell ref="M22:O22"/>
    <mergeCell ref="B23:D24"/>
    <mergeCell ref="E24:I24"/>
    <mergeCell ref="J23:L24"/>
    <mergeCell ref="E22:I22"/>
    <mergeCell ref="B25:D25"/>
    <mergeCell ref="M23:O24"/>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19:O19"/>
    <mergeCell ref="E19:I19"/>
    <mergeCell ref="J19:L19"/>
    <mergeCell ref="B19:D19"/>
    <mergeCell ref="M20:O20"/>
    <mergeCell ref="E20:I20"/>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s>
  <phoneticPr fontId="23" type="noConversion"/>
  <pageMargins left="0.70866141732283472" right="0.70866141732283472" top="0.74803149606299213" bottom="0.74803149606299213" header="0.31496062992125984" footer="0.31496062992125984"/>
  <pageSetup paperSize="9" scale="51"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50"/>
  <sheetViews>
    <sheetView showGridLines="0" zoomScale="80" zoomScaleNormal="80" zoomScaleSheetLayoutView="75" workbookViewId="0">
      <selection activeCell="N16" sqref="N16"/>
    </sheetView>
  </sheetViews>
  <sheetFormatPr defaultColWidth="11" defaultRowHeight="15"/>
  <cols>
    <col min="1" max="1" width="2.7109375" customWidth="1"/>
    <col min="2" max="2" width="48" customWidth="1"/>
    <col min="3" max="3" width="23" customWidth="1"/>
    <col min="4" max="4" width="19.140625" customWidth="1"/>
    <col min="5" max="5" width="18.7109375" customWidth="1"/>
    <col min="6" max="6" width="17.42578125" customWidth="1"/>
    <col min="7" max="7" width="16.42578125" customWidth="1"/>
    <col min="8" max="8" width="12.5703125" customWidth="1"/>
    <col min="9" max="9" width="11.85546875" customWidth="1"/>
    <col min="10" max="10" width="13.28515625" customWidth="1"/>
    <col min="11" max="11" width="12"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4" t="s">
        <v>282</v>
      </c>
      <c r="C2" s="694"/>
      <c r="D2" s="694"/>
      <c r="E2" s="694"/>
      <c r="F2" s="694"/>
      <c r="G2" s="694"/>
      <c r="H2" s="694"/>
      <c r="I2" s="694"/>
      <c r="J2" s="694"/>
      <c r="K2" s="224"/>
      <c r="L2" s="224"/>
      <c r="M2" s="224"/>
    </row>
    <row r="3" spans="1:13" ht="4.5" customHeight="1">
      <c r="A3" s="3"/>
      <c r="B3" s="3"/>
      <c r="C3" s="3"/>
      <c r="D3" s="3"/>
      <c r="E3" s="3"/>
      <c r="F3" s="3"/>
      <c r="G3" s="3"/>
      <c r="H3" s="3"/>
      <c r="I3" s="3"/>
      <c r="J3" s="3"/>
      <c r="K3" s="3"/>
      <c r="L3" s="3"/>
      <c r="M3" s="3"/>
    </row>
    <row r="4" spans="1:13" ht="34.5" customHeight="1">
      <c r="A4" s="3"/>
      <c r="B4" s="223" t="s">
        <v>283</v>
      </c>
      <c r="C4" s="739" t="s">
        <v>157</v>
      </c>
      <c r="D4" s="740"/>
      <c r="E4" s="721" t="s">
        <v>287</v>
      </c>
      <c r="F4" s="721"/>
      <c r="G4" s="741" t="s">
        <v>309</v>
      </c>
      <c r="H4" s="742"/>
      <c r="I4" s="742"/>
      <c r="J4" s="743"/>
      <c r="K4" s="3"/>
      <c r="L4" s="3"/>
      <c r="M4" s="3"/>
    </row>
    <row r="5" spans="1:13" ht="3" customHeight="1">
      <c r="A5" s="3"/>
      <c r="B5" s="223"/>
      <c r="C5" s="3"/>
      <c r="D5" s="3"/>
      <c r="E5" s="225"/>
      <c r="F5" s="225"/>
      <c r="G5" s="3"/>
      <c r="H5" s="3"/>
      <c r="I5" s="3"/>
      <c r="J5" s="3"/>
      <c r="K5" s="3"/>
      <c r="L5" s="3"/>
      <c r="M5" s="3"/>
    </row>
    <row r="6" spans="1:13">
      <c r="A6" s="3"/>
      <c r="B6" s="223" t="s">
        <v>284</v>
      </c>
      <c r="C6" s="739" t="s">
        <v>468</v>
      </c>
      <c r="D6" s="740"/>
      <c r="E6" s="721" t="s">
        <v>288</v>
      </c>
      <c r="F6" s="721"/>
      <c r="G6" s="246" t="s">
        <v>15</v>
      </c>
      <c r="H6" s="223" t="s">
        <v>289</v>
      </c>
      <c r="I6" s="748">
        <v>7957826</v>
      </c>
      <c r="J6" s="749"/>
      <c r="K6" s="3"/>
      <c r="L6" s="3"/>
      <c r="M6" s="3"/>
    </row>
    <row r="7" spans="1:13" ht="3" customHeight="1">
      <c r="A7" s="3"/>
      <c r="B7" s="223"/>
      <c r="C7" s="3"/>
      <c r="D7" s="3"/>
      <c r="E7" s="225"/>
      <c r="F7" s="225"/>
      <c r="G7" s="3"/>
      <c r="H7" s="223"/>
      <c r="I7" s="3"/>
      <c r="J7" s="3"/>
      <c r="K7" s="3"/>
      <c r="L7" s="3"/>
      <c r="M7" s="3"/>
    </row>
    <row r="8" spans="1:13">
      <c r="A8" s="3"/>
      <c r="B8" s="223" t="s">
        <v>285</v>
      </c>
      <c r="C8" s="739" t="s">
        <v>431</v>
      </c>
      <c r="D8" s="740"/>
      <c r="E8" s="226"/>
      <c r="F8" s="222" t="s">
        <v>290</v>
      </c>
      <c r="G8" s="305" t="s">
        <v>270</v>
      </c>
      <c r="H8" s="222" t="s">
        <v>291</v>
      </c>
      <c r="I8" s="739" t="s">
        <v>469</v>
      </c>
      <c r="J8" s="740"/>
      <c r="K8" s="3"/>
      <c r="L8" s="3"/>
      <c r="M8" s="3"/>
    </row>
    <row r="9" spans="1:13" ht="3" customHeight="1">
      <c r="A9" s="3"/>
      <c r="B9" s="225"/>
      <c r="C9" s="3"/>
      <c r="D9" s="3"/>
      <c r="E9" s="225"/>
      <c r="F9" s="225"/>
      <c r="G9" s="3"/>
      <c r="H9" s="3"/>
      <c r="I9" s="3"/>
      <c r="J9" s="3"/>
      <c r="K9" s="3"/>
      <c r="L9" s="3"/>
      <c r="M9" s="3"/>
    </row>
    <row r="10" spans="1:13">
      <c r="A10" s="3"/>
      <c r="B10" s="223" t="s">
        <v>373</v>
      </c>
      <c r="C10" s="746">
        <v>42186</v>
      </c>
      <c r="D10" s="747"/>
      <c r="E10" s="695" t="s">
        <v>292</v>
      </c>
      <c r="F10" s="692"/>
      <c r="G10" s="739" t="s">
        <v>37</v>
      </c>
      <c r="H10" s="751"/>
      <c r="I10" s="751"/>
      <c r="J10" s="740"/>
      <c r="K10" s="3"/>
      <c r="L10" s="3"/>
      <c r="M10" s="3"/>
    </row>
    <row r="11" spans="1:13" ht="5.25" customHeight="1">
      <c r="A11" s="3"/>
      <c r="B11" s="3"/>
      <c r="C11" s="3"/>
      <c r="D11" s="3"/>
      <c r="E11" s="3"/>
      <c r="F11" s="3"/>
      <c r="G11" s="3"/>
      <c r="H11" s="3"/>
      <c r="I11" s="3"/>
      <c r="J11" s="3"/>
      <c r="K11" s="3"/>
      <c r="L11" s="3"/>
      <c r="M11" s="3"/>
    </row>
    <row r="12" spans="1:13" ht="15" customHeight="1">
      <c r="A12" s="3"/>
      <c r="B12" s="223" t="s">
        <v>286</v>
      </c>
      <c r="C12" s="752" t="s">
        <v>25</v>
      </c>
      <c r="D12" s="752"/>
      <c r="E12" s="695" t="s">
        <v>233</v>
      </c>
      <c r="F12" s="721"/>
      <c r="G12" s="750" t="s">
        <v>432</v>
      </c>
      <c r="H12" s="750"/>
      <c r="I12" s="750"/>
      <c r="J12" s="750"/>
      <c r="K12" s="3"/>
      <c r="L12" s="3"/>
      <c r="M12" s="3"/>
    </row>
    <row r="13" spans="1:13" ht="5.25" customHeight="1">
      <c r="A13" s="3"/>
      <c r="B13" s="3"/>
      <c r="C13" s="3"/>
      <c r="D13" s="3"/>
      <c r="E13" s="3"/>
      <c r="F13" s="3"/>
      <c r="G13" s="3"/>
      <c r="H13" s="3"/>
      <c r="I13" s="3"/>
      <c r="J13" s="3"/>
      <c r="K13" s="3"/>
      <c r="L13" s="3"/>
      <c r="M13" s="3"/>
    </row>
    <row r="14" spans="1:13" ht="15.75" customHeight="1">
      <c r="A14" s="3"/>
      <c r="B14" s="694" t="s">
        <v>293</v>
      </c>
      <c r="C14" s="694"/>
      <c r="D14" s="694"/>
      <c r="E14" s="694"/>
      <c r="F14" s="694"/>
      <c r="G14" s="694"/>
      <c r="H14" s="694"/>
      <c r="I14" s="694"/>
      <c r="J14" s="694"/>
      <c r="K14" s="3"/>
      <c r="L14" s="3"/>
      <c r="M14" s="3"/>
    </row>
    <row r="15" spans="1:13" ht="12" customHeight="1">
      <c r="A15" s="3"/>
      <c r="B15" s="3"/>
      <c r="C15" s="3"/>
      <c r="D15" s="3"/>
      <c r="E15" s="3"/>
      <c r="F15" s="3"/>
      <c r="G15" s="3"/>
      <c r="H15" s="3"/>
      <c r="I15" s="3"/>
      <c r="J15" s="3"/>
      <c r="K15" s="3"/>
      <c r="L15" s="3"/>
      <c r="M15" s="3"/>
    </row>
    <row r="16" spans="1:13" s="35" customFormat="1" ht="30" customHeight="1">
      <c r="A16" s="358"/>
      <c r="B16" s="359" t="s">
        <v>294</v>
      </c>
      <c r="C16" s="426" t="s">
        <v>72</v>
      </c>
      <c r="D16" s="427" t="s">
        <v>295</v>
      </c>
      <c r="E16" s="428">
        <v>42917</v>
      </c>
      <c r="F16" s="429" t="s">
        <v>296</v>
      </c>
      <c r="G16" s="428">
        <v>43100</v>
      </c>
      <c r="H16" s="744" t="s">
        <v>417</v>
      </c>
      <c r="I16" s="745"/>
      <c r="J16" s="428">
        <v>43238</v>
      </c>
      <c r="K16" s="358"/>
      <c r="L16" s="358"/>
      <c r="M16" s="358"/>
    </row>
    <row r="17" spans="1:35" ht="3" customHeight="1">
      <c r="A17" s="3"/>
      <c r="B17" s="3"/>
      <c r="C17" s="3"/>
      <c r="D17" s="3"/>
      <c r="E17" s="3"/>
      <c r="F17" s="3"/>
      <c r="G17" s="3"/>
      <c r="H17" s="3"/>
      <c r="I17" s="3"/>
      <c r="J17" s="3"/>
      <c r="K17" s="3"/>
      <c r="L17" s="3"/>
      <c r="M17" s="3"/>
    </row>
    <row r="18" spans="1:35">
      <c r="A18" s="3"/>
      <c r="B18" s="691" t="s">
        <v>376</v>
      </c>
      <c r="C18" s="692"/>
      <c r="D18" s="693" t="s">
        <v>431</v>
      </c>
      <c r="E18" s="693"/>
      <c r="F18" s="693"/>
      <c r="G18" s="227"/>
      <c r="H18" s="227"/>
      <c r="I18" s="227"/>
      <c r="J18" s="227"/>
      <c r="K18" s="3"/>
      <c r="L18" s="3"/>
      <c r="M18" s="3"/>
    </row>
    <row r="19" spans="1:35" ht="30" customHeight="1">
      <c r="A19" s="3"/>
      <c r="B19" s="3"/>
      <c r="C19" s="3"/>
      <c r="D19" s="3"/>
      <c r="E19" s="3"/>
      <c r="F19" s="3"/>
      <c r="G19" s="3"/>
      <c r="H19" s="3"/>
      <c r="I19" s="3"/>
      <c r="J19" s="3"/>
      <c r="K19" s="3"/>
      <c r="L19" s="3"/>
      <c r="M19" s="3"/>
    </row>
    <row r="20" spans="1:35" ht="21" customHeight="1">
      <c r="A20" s="3"/>
      <c r="B20" s="3"/>
      <c r="C20" s="3"/>
      <c r="D20" s="3"/>
      <c r="E20" s="3"/>
      <c r="F20" s="3"/>
      <c r="G20" s="3"/>
      <c r="H20" s="3"/>
      <c r="I20" s="3"/>
      <c r="J20" s="3"/>
      <c r="K20" s="3"/>
      <c r="L20" s="3"/>
      <c r="M20" s="3"/>
    </row>
    <row r="21" spans="1:35" ht="15.75" customHeight="1">
      <c r="A21" s="3"/>
      <c r="B21" s="694" t="s">
        <v>297</v>
      </c>
      <c r="C21" s="694"/>
      <c r="D21" s="694"/>
      <c r="E21" s="694"/>
      <c r="F21" s="694"/>
      <c r="G21" s="694"/>
      <c r="H21" s="694"/>
      <c r="I21" s="694"/>
      <c r="J21" s="694"/>
      <c r="K21" s="3"/>
      <c r="L21" s="3"/>
      <c r="M21" s="3"/>
    </row>
    <row r="22" spans="1:35">
      <c r="A22" s="3"/>
      <c r="B22" s="225" t="s">
        <v>419</v>
      </c>
      <c r="C22" s="3"/>
      <c r="D22" s="3"/>
      <c r="E22" s="228"/>
      <c r="F22" s="228"/>
      <c r="G22" s="3"/>
      <c r="H22" s="3"/>
      <c r="I22" s="228"/>
      <c r="J22" s="228"/>
      <c r="K22" s="3"/>
      <c r="L22" s="3"/>
      <c r="M22" s="3"/>
    </row>
    <row r="23" spans="1:35" ht="3" customHeight="1">
      <c r="A23" s="3"/>
      <c r="B23" s="3"/>
      <c r="C23" s="3"/>
      <c r="D23" s="3"/>
      <c r="E23" s="3"/>
      <c r="F23" s="3"/>
      <c r="G23" s="3"/>
      <c r="H23" s="3"/>
      <c r="I23" s="3"/>
      <c r="J23" s="3"/>
      <c r="K23" s="3"/>
      <c r="L23" s="3"/>
      <c r="M23" s="3"/>
    </row>
    <row r="24" spans="1:35" ht="15.75" thickBot="1">
      <c r="A24" s="3"/>
      <c r="B24" s="223" t="s">
        <v>298</v>
      </c>
      <c r="C24" s="298"/>
      <c r="D24" s="721" t="s">
        <v>299</v>
      </c>
      <c r="E24" s="721"/>
      <c r="F24" s="299"/>
      <c r="G24" s="721" t="s">
        <v>300</v>
      </c>
      <c r="H24" s="721"/>
      <c r="I24" s="728"/>
      <c r="J24" s="729"/>
      <c r="K24" s="3"/>
      <c r="L24" s="3"/>
      <c r="M24" s="3"/>
      <c r="N24" s="20"/>
    </row>
    <row r="25" spans="1:35" ht="26.25" customHeight="1" thickBot="1">
      <c r="A25" s="3"/>
      <c r="B25" s="86" t="s">
        <v>298</v>
      </c>
      <c r="C25" s="87"/>
      <c r="D25" s="87"/>
      <c r="E25" s="87"/>
      <c r="F25" s="87"/>
      <c r="G25" s="87"/>
      <c r="H25" s="213"/>
      <c r="I25" s="88"/>
      <c r="J25" s="88"/>
      <c r="K25" s="213" t="s">
        <v>418</v>
      </c>
      <c r="L25" s="87"/>
      <c r="M25" s="87"/>
      <c r="N25" s="313"/>
      <c r="O25" s="39"/>
      <c r="AI25" s="43"/>
    </row>
    <row r="26" spans="1:35">
      <c r="A26" s="3"/>
      <c r="B26" s="719" t="s">
        <v>301</v>
      </c>
      <c r="C26" s="720"/>
      <c r="D26" s="355" t="s">
        <v>2</v>
      </c>
      <c r="E26" s="90"/>
      <c r="F26" s="90"/>
      <c r="G26" s="90"/>
      <c r="H26" s="90"/>
      <c r="I26" s="90"/>
      <c r="J26" s="91"/>
      <c r="K26" s="90"/>
      <c r="L26" s="90"/>
      <c r="M26" s="90"/>
      <c r="N26" s="39"/>
      <c r="O26" s="39"/>
      <c r="AI26" s="43"/>
    </row>
    <row r="27" spans="1:35" ht="18.75">
      <c r="A27" s="3"/>
      <c r="B27" s="89" t="s">
        <v>302</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c r="P28" s="35"/>
      <c r="Q28" s="35"/>
    </row>
    <row r="29" spans="1:35" ht="15.75" thickBot="1">
      <c r="A29" s="3"/>
      <c r="B29" s="722" t="s">
        <v>306</v>
      </c>
      <c r="C29" s="723"/>
      <c r="D29" s="723"/>
      <c r="E29" s="723"/>
      <c r="F29" s="723"/>
      <c r="G29" s="723"/>
      <c r="H29" s="723"/>
      <c r="I29" s="723"/>
      <c r="J29" s="723"/>
      <c r="K29" s="723"/>
      <c r="L29" s="723"/>
      <c r="M29" s="723"/>
      <c r="N29" s="724"/>
      <c r="P29" s="490"/>
      <c r="Q29" s="414"/>
      <c r="R29" s="170">
        <f>+C33</f>
        <v>1725097.19</v>
      </c>
      <c r="S29" s="168"/>
    </row>
    <row r="30" spans="1:35">
      <c r="A30" s="3"/>
      <c r="B30" s="92" t="s">
        <v>303</v>
      </c>
      <c r="C30" s="285" t="s">
        <v>62</v>
      </c>
      <c r="D30" s="285" t="s">
        <v>63</v>
      </c>
      <c r="E30" s="285" t="s">
        <v>64</v>
      </c>
      <c r="F30" s="285" t="s">
        <v>65</v>
      </c>
      <c r="G30" s="285" t="s">
        <v>72</v>
      </c>
      <c r="H30" s="285" t="s">
        <v>73</v>
      </c>
      <c r="I30" s="285" t="s">
        <v>74</v>
      </c>
      <c r="J30" s="285" t="s">
        <v>75</v>
      </c>
      <c r="K30" s="285" t="s">
        <v>76</v>
      </c>
      <c r="L30" s="285" t="s">
        <v>77</v>
      </c>
      <c r="M30" s="285" t="s">
        <v>78</v>
      </c>
      <c r="N30" s="286" t="s">
        <v>232</v>
      </c>
      <c r="O30" s="491" t="s">
        <v>310</v>
      </c>
      <c r="P30" s="490"/>
      <c r="Q30" s="414"/>
      <c r="R30" s="170">
        <f>+D33</f>
        <v>703324.68</v>
      </c>
      <c r="S30" s="168"/>
    </row>
    <row r="31" spans="1:35">
      <c r="A31" s="3"/>
      <c r="B31" s="220" t="str">
        <f>CONCATENATE("Buget (in ",'Introducerea datelor'!$D$26,")")</f>
        <v>Buget (in €)</v>
      </c>
      <c r="C31" s="430">
        <v>1725097.19</v>
      </c>
      <c r="D31" s="430">
        <v>703324.68</v>
      </c>
      <c r="E31" s="292">
        <v>1308125.3500000001</v>
      </c>
      <c r="F31" s="385">
        <v>1031532.02</v>
      </c>
      <c r="G31" s="292">
        <v>3189747.84</v>
      </c>
      <c r="H31" s="385"/>
      <c r="I31" s="385"/>
      <c r="J31" s="292"/>
      <c r="K31" s="292"/>
      <c r="L31" s="292"/>
      <c r="M31" s="292"/>
      <c r="N31" s="292"/>
      <c r="O31" s="675">
        <f>G34/I6</f>
        <v>0.9952219990736163</v>
      </c>
      <c r="P31" s="492"/>
      <c r="Q31" s="414"/>
      <c r="R31" s="170">
        <f>+E33</f>
        <v>1308125.3500000001</v>
      </c>
      <c r="S31" s="168"/>
    </row>
    <row r="32" spans="1:35">
      <c r="A32" s="3"/>
      <c r="B32" s="92" t="str">
        <f>CONCATENATE("Debursări de către FG (in ", $D$26,")")</f>
        <v>Debursări de către FG (in €)</v>
      </c>
      <c r="C32" s="430">
        <v>2488378</v>
      </c>
      <c r="D32" s="430">
        <f>1330131+44595</f>
        <v>1374726</v>
      </c>
      <c r="E32" s="502">
        <v>580595</v>
      </c>
      <c r="F32" s="503">
        <v>897114</v>
      </c>
      <c r="G32" s="293">
        <v>2578990.5</v>
      </c>
      <c r="H32" s="386"/>
      <c r="I32" s="385"/>
      <c r="J32" s="292"/>
      <c r="K32" s="292"/>
      <c r="L32" s="292"/>
      <c r="M32" s="292"/>
      <c r="N32" s="292"/>
      <c r="O32" s="676"/>
      <c r="P32" s="490"/>
      <c r="Q32" s="414"/>
      <c r="R32" s="170">
        <f>+F33</f>
        <v>1031532.02</v>
      </c>
      <c r="S32" s="168"/>
    </row>
    <row r="33" spans="1:35">
      <c r="A33" s="3"/>
      <c r="B33" s="93" t="s">
        <v>304</v>
      </c>
      <c r="C33" s="499">
        <v>1725097.19</v>
      </c>
      <c r="D33" s="499">
        <v>703324.68</v>
      </c>
      <c r="E33" s="500">
        <v>1308125.3500000001</v>
      </c>
      <c r="F33" s="501">
        <v>1031532.02</v>
      </c>
      <c r="G33" s="387">
        <v>3189747.84</v>
      </c>
      <c r="H33" s="387">
        <f t="shared" ref="H33:N33" si="0">IF(AND(H31=0,H32=0),0,+G33+H31)</f>
        <v>0</v>
      </c>
      <c r="I33" s="387">
        <f t="shared" si="0"/>
        <v>0</v>
      </c>
      <c r="J33" s="294">
        <f t="shared" si="0"/>
        <v>0</v>
      </c>
      <c r="K33" s="294">
        <f t="shared" si="0"/>
        <v>0</v>
      </c>
      <c r="L33" s="294">
        <f t="shared" si="0"/>
        <v>0</v>
      </c>
      <c r="M33" s="294">
        <f t="shared" si="0"/>
        <v>0</v>
      </c>
      <c r="N33" s="294">
        <f t="shared" si="0"/>
        <v>0</v>
      </c>
      <c r="O33" s="676"/>
      <c r="P33" s="493"/>
      <c r="Q33" s="414"/>
      <c r="R33" s="170">
        <f>+G33</f>
        <v>3189747.84</v>
      </c>
      <c r="S33" s="168"/>
    </row>
    <row r="34" spans="1:35" ht="15.75" thickBot="1">
      <c r="A34" s="3"/>
      <c r="B34" s="94" t="s">
        <v>305</v>
      </c>
      <c r="C34" s="431">
        <v>2488378</v>
      </c>
      <c r="D34" s="431">
        <f>IF(AND(D31=0,D32=0),0,+C34+D32)</f>
        <v>3863104</v>
      </c>
      <c r="E34" s="295">
        <f t="shared" ref="E34:N34" si="1">IF(AND(E31=0,E32=0),0,+D34+E32)</f>
        <v>4443699</v>
      </c>
      <c r="F34" s="388">
        <f t="shared" si="1"/>
        <v>5340813</v>
      </c>
      <c r="G34" s="295">
        <f>IF(AND(G31=0,G32=0),0,+F34+G32)</f>
        <v>7919803.5</v>
      </c>
      <c r="H34" s="388">
        <f t="shared" si="1"/>
        <v>0</v>
      </c>
      <c r="I34" s="388">
        <f t="shared" si="1"/>
        <v>0</v>
      </c>
      <c r="J34" s="295">
        <f t="shared" si="1"/>
        <v>0</v>
      </c>
      <c r="K34" s="295">
        <f t="shared" si="1"/>
        <v>0</v>
      </c>
      <c r="L34" s="295">
        <f t="shared" si="1"/>
        <v>0</v>
      </c>
      <c r="M34" s="295">
        <f t="shared" si="1"/>
        <v>0</v>
      </c>
      <c r="N34" s="295">
        <f t="shared" si="1"/>
        <v>0</v>
      </c>
      <c r="O34" s="677"/>
      <c r="P34" s="493"/>
      <c r="Q34" s="414"/>
      <c r="R34" s="170">
        <f>+H33</f>
        <v>0</v>
      </c>
      <c r="S34" s="168"/>
    </row>
    <row r="35" spans="1:35">
      <c r="A35" s="3"/>
      <c r="B35" s="3"/>
      <c r="C35" s="269">
        <f>+IF(AND(C30=$C$16,C33&lt;&gt;0),C34/C33,0)</f>
        <v>0</v>
      </c>
      <c r="D35" s="269">
        <f t="shared" ref="D35:N35" si="2">+IF(AND(D30=$C$16,D33&lt;&gt;0),D34/D33,0)</f>
        <v>0</v>
      </c>
      <c r="E35" s="269">
        <f t="shared" si="2"/>
        <v>0</v>
      </c>
      <c r="F35" s="269">
        <f>+IF(AND(F30=$C$16,F33&lt;&gt;0),F34/F33,0)</f>
        <v>0</v>
      </c>
      <c r="G35" s="269">
        <f t="shared" si="2"/>
        <v>2.4828932872637357</v>
      </c>
      <c r="H35" s="269">
        <f t="shared" si="2"/>
        <v>0</v>
      </c>
      <c r="I35" s="269">
        <f t="shared" si="2"/>
        <v>0</v>
      </c>
      <c r="J35" s="269">
        <f t="shared" si="2"/>
        <v>0</v>
      </c>
      <c r="K35" s="269">
        <f t="shared" si="2"/>
        <v>0</v>
      </c>
      <c r="L35" s="269">
        <f t="shared" si="2"/>
        <v>0</v>
      </c>
      <c r="M35" s="269">
        <f t="shared" si="2"/>
        <v>0</v>
      </c>
      <c r="N35" s="269">
        <f t="shared" si="2"/>
        <v>0</v>
      </c>
      <c r="O35" s="494"/>
      <c r="P35" s="474"/>
      <c r="Q35" s="415"/>
      <c r="R35" s="170">
        <f>+I33</f>
        <v>0</v>
      </c>
      <c r="S35" s="168"/>
    </row>
    <row r="36" spans="1:35" ht="18.75">
      <c r="A36" s="3"/>
      <c r="B36" s="89" t="s">
        <v>307</v>
      </c>
      <c r="C36" s="3"/>
      <c r="D36" s="3"/>
      <c r="E36" s="278"/>
      <c r="F36" s="3"/>
      <c r="G36" s="210"/>
      <c r="H36" s="3"/>
      <c r="I36" s="3"/>
      <c r="J36" s="3"/>
      <c r="K36" s="3"/>
      <c r="L36" s="3"/>
      <c r="M36" s="3"/>
      <c r="N36" s="40"/>
      <c r="O36" s="40"/>
      <c r="P36" s="35"/>
      <c r="Q36" s="35"/>
      <c r="AI36" s="20"/>
    </row>
    <row r="37" spans="1:35" ht="15.75" thickBot="1">
      <c r="A37" s="3"/>
      <c r="B37" s="3"/>
      <c r="C37" s="3"/>
      <c r="D37" s="3"/>
      <c r="E37" s="3"/>
      <c r="F37" s="3"/>
      <c r="G37" s="3"/>
      <c r="H37" s="3"/>
      <c r="I37" s="3"/>
      <c r="J37" s="3"/>
      <c r="K37" s="3"/>
      <c r="L37" s="3"/>
      <c r="M37" s="3"/>
      <c r="N37" s="38"/>
      <c r="O37" s="38"/>
      <c r="P37" s="35"/>
      <c r="Q37" s="35"/>
    </row>
    <row r="38" spans="1:35" ht="30" customHeight="1">
      <c r="A38" s="3"/>
      <c r="B38" s="300" t="s">
        <v>308</v>
      </c>
      <c r="C38" s="301" t="str">
        <f>CONCATENATE("Bugetul Cumulativ (în ",'Introducerea datelor'!$D$26,")")</f>
        <v>Bugetul Cumulativ (în €)</v>
      </c>
      <c r="D38" s="302" t="str">
        <f>CONCATENATE("Cheltuielile Cumulative (în ",'Introducerea datelor'!$D$26,")")</f>
        <v>Cheltuielile Cumulative (în €)</v>
      </c>
      <c r="E38" s="495" t="s">
        <v>492</v>
      </c>
      <c r="F38" s="230" t="s">
        <v>493</v>
      </c>
      <c r="G38" s="3"/>
      <c r="H38" s="3"/>
      <c r="I38" s="3"/>
      <c r="J38" s="99"/>
      <c r="K38" s="41"/>
      <c r="N38"/>
      <c r="O38"/>
      <c r="Q38" s="35"/>
      <c r="AE38" s="20"/>
      <c r="AF38" s="35"/>
    </row>
    <row r="39" spans="1:35" ht="46.5" customHeight="1">
      <c r="A39" s="3"/>
      <c r="B39" s="345" t="s">
        <v>434</v>
      </c>
      <c r="C39" s="544">
        <v>2935429.52</v>
      </c>
      <c r="D39" s="545">
        <v>2750565.91</v>
      </c>
      <c r="E39" s="547">
        <f>C39-D39</f>
        <v>184863.60999999987</v>
      </c>
      <c r="F39" s="512">
        <f>D39/C39</f>
        <v>0.93702331848185549</v>
      </c>
      <c r="G39" s="284"/>
      <c r="H39" s="3"/>
      <c r="I39" s="3"/>
      <c r="J39" s="100"/>
      <c r="K39" s="42"/>
      <c r="N39"/>
      <c r="O39"/>
      <c r="Q39" s="35"/>
      <c r="AE39" s="20"/>
      <c r="AF39" s="35"/>
    </row>
    <row r="40" spans="1:35" ht="49.5" customHeight="1">
      <c r="A40" s="3"/>
      <c r="B40" s="345" t="s">
        <v>437</v>
      </c>
      <c r="C40" s="544">
        <v>4305986.92</v>
      </c>
      <c r="D40" s="545">
        <v>4026737.65</v>
      </c>
      <c r="E40" s="547">
        <f t="shared" ref="E40:E46" si="3">C40-D40</f>
        <v>279249.27</v>
      </c>
      <c r="F40" s="512">
        <f>D40/C40</f>
        <v>0.93514860235571728</v>
      </c>
      <c r="G40" s="284"/>
      <c r="H40" s="3"/>
      <c r="I40" s="3"/>
      <c r="J40" s="3"/>
      <c r="K40" s="42"/>
      <c r="N40"/>
      <c r="O40"/>
      <c r="Q40" s="35"/>
      <c r="AE40" s="20"/>
      <c r="AF40" s="35"/>
    </row>
    <row r="41" spans="1:35" ht="48" customHeight="1">
      <c r="A41" s="3"/>
      <c r="B41" s="345" t="s">
        <v>435</v>
      </c>
      <c r="C41" s="546">
        <v>275154.03999999998</v>
      </c>
      <c r="D41" s="545">
        <v>229937.58</v>
      </c>
      <c r="E41" s="547">
        <f t="shared" si="3"/>
        <v>45216.459999999992</v>
      </c>
      <c r="F41" s="512">
        <f>D41/C41</f>
        <v>0.83566855860084777</v>
      </c>
      <c r="G41" s="3"/>
      <c r="H41" s="3"/>
      <c r="I41" s="3"/>
      <c r="J41" s="3"/>
      <c r="K41" s="42"/>
      <c r="N41"/>
      <c r="O41"/>
      <c r="Q41" s="35"/>
      <c r="AE41" s="20"/>
      <c r="AF41" s="35"/>
    </row>
    <row r="42" spans="1:35" ht="24.75" customHeight="1">
      <c r="A42" s="3"/>
      <c r="B42" s="346" t="s">
        <v>436</v>
      </c>
      <c r="C42" s="546">
        <v>441256.6</v>
      </c>
      <c r="D42" s="545">
        <v>447509.94</v>
      </c>
      <c r="E42" s="547">
        <f t="shared" si="3"/>
        <v>-6253.3400000000256</v>
      </c>
      <c r="F42" s="512">
        <f>D42/C42</f>
        <v>1.0141716633813522</v>
      </c>
      <c r="J42" s="3"/>
      <c r="K42" s="20"/>
      <c r="N42"/>
      <c r="O42"/>
      <c r="Q42" s="35"/>
      <c r="AE42" s="20"/>
      <c r="AF42" s="35"/>
    </row>
    <row r="43" spans="1:35" ht="26.25" customHeight="1">
      <c r="A43" s="3"/>
      <c r="B43" s="346" t="s">
        <v>489</v>
      </c>
      <c r="C43" s="546"/>
      <c r="D43" s="545"/>
      <c r="E43" s="547"/>
      <c r="F43" s="512"/>
      <c r="J43" s="3"/>
      <c r="K43" s="20"/>
      <c r="N43"/>
      <c r="O43"/>
      <c r="Q43" s="35"/>
      <c r="AE43" s="20"/>
      <c r="AF43" s="35"/>
    </row>
    <row r="44" spans="1:35">
      <c r="A44" s="3"/>
      <c r="B44" s="346" t="s">
        <v>422</v>
      </c>
      <c r="C44" s="546"/>
      <c r="D44" s="545">
        <v>27385.35</v>
      </c>
      <c r="E44" s="547">
        <f t="shared" si="3"/>
        <v>-27385.35</v>
      </c>
      <c r="F44" s="512"/>
      <c r="J44" s="15"/>
      <c r="K44" s="20"/>
      <c r="N44"/>
      <c r="O44"/>
      <c r="Q44" s="35"/>
      <c r="AE44" s="35"/>
      <c r="AF44" s="35"/>
    </row>
    <row r="45" spans="1:35">
      <c r="A45" s="3"/>
      <c r="B45" s="303"/>
      <c r="C45" s="389"/>
      <c r="D45" s="390"/>
      <c r="E45" s="547"/>
      <c r="F45" s="512"/>
      <c r="J45" s="15"/>
      <c r="K45" s="20"/>
      <c r="N45"/>
      <c r="O45"/>
      <c r="Q45" s="35"/>
      <c r="AE45" s="35"/>
      <c r="AF45" s="35"/>
    </row>
    <row r="46" spans="1:35" ht="15.75" thickBot="1">
      <c r="A46" s="3"/>
      <c r="B46" s="304" t="s">
        <v>39</v>
      </c>
      <c r="C46" s="487">
        <f>SUM(C39:C45)</f>
        <v>7957827.0799999991</v>
      </c>
      <c r="D46" s="504">
        <f>SUM(D39:D45)</f>
        <v>7482136.4300000006</v>
      </c>
      <c r="E46" s="547">
        <f t="shared" si="3"/>
        <v>475690.64999999851</v>
      </c>
      <c r="F46" s="512">
        <f>D46/C46</f>
        <v>0.94022355032122684</v>
      </c>
      <c r="N46" s="172"/>
      <c r="O46" s="170"/>
      <c r="P46" s="168"/>
      <c r="Q46" s="35"/>
      <c r="AE46" s="35"/>
      <c r="AF46" s="35"/>
    </row>
    <row r="47" spans="1:35">
      <c r="A47" s="3"/>
      <c r="B47" s="3"/>
      <c r="C47" s="163"/>
      <c r="D47" s="163"/>
      <c r="E47" s="216"/>
      <c r="F47" s="163"/>
      <c r="G47" s="163"/>
      <c r="H47" s="163"/>
      <c r="I47" s="163"/>
      <c r="J47" s="163"/>
      <c r="K47" s="163"/>
      <c r="L47" s="163"/>
      <c r="M47" s="163"/>
      <c r="N47" s="163"/>
      <c r="O47" s="163"/>
      <c r="P47" s="171"/>
      <c r="Q47" s="415"/>
      <c r="R47" s="170"/>
      <c r="S47" s="168"/>
    </row>
    <row r="48" spans="1:35" ht="18.75">
      <c r="A48" s="3"/>
      <c r="B48" s="89" t="s">
        <v>311</v>
      </c>
      <c r="C48" s="3"/>
      <c r="D48" s="3"/>
      <c r="E48" s="3"/>
      <c r="F48" s="3"/>
      <c r="G48" s="3"/>
      <c r="H48" s="3"/>
      <c r="I48" s="3"/>
      <c r="J48" s="3"/>
      <c r="K48" s="3"/>
      <c r="L48" s="3"/>
      <c r="M48" s="3"/>
      <c r="P48" s="168"/>
      <c r="Q48" s="414"/>
      <c r="R48" s="170">
        <f>+J33</f>
        <v>0</v>
      </c>
      <c r="S48" s="168"/>
    </row>
    <row r="49" spans="1:35" ht="15.75" thickBot="1">
      <c r="A49" s="3"/>
      <c r="B49" s="3"/>
      <c r="C49" s="3"/>
      <c r="D49" s="3"/>
      <c r="E49" s="3"/>
      <c r="F49" s="3"/>
      <c r="G49" s="3"/>
      <c r="H49" s="3"/>
      <c r="I49" s="3"/>
      <c r="J49" s="3"/>
      <c r="K49" s="3"/>
      <c r="L49" s="3"/>
      <c r="M49" s="3"/>
      <c r="P49" s="168"/>
      <c r="Q49" s="169"/>
      <c r="R49" s="170">
        <f>+K33</f>
        <v>0</v>
      </c>
      <c r="S49" s="168"/>
    </row>
    <row r="50" spans="1:35" ht="35.25" customHeight="1">
      <c r="A50" s="3"/>
      <c r="B50" s="233"/>
      <c r="C50" s="234" t="s">
        <v>316</v>
      </c>
      <c r="D50" s="234" t="s">
        <v>317</v>
      </c>
      <c r="E50" s="319" t="str">
        <f>CONCATENATE("Total Cheltuit și debursat (în ",D26,")")</f>
        <v>Total Cheltuit și debursat (în €)</v>
      </c>
      <c r="F50" s="358"/>
      <c r="G50" s="416"/>
      <c r="H50" s="230"/>
      <c r="I50" s="221"/>
      <c r="J50" s="221"/>
      <c r="K50" s="221"/>
      <c r="L50" s="221"/>
      <c r="M50" s="21"/>
      <c r="N50" s="21"/>
      <c r="O50" s="168"/>
      <c r="P50" s="169"/>
      <c r="Q50" s="170">
        <f>+M33</f>
        <v>0</v>
      </c>
      <c r="R50" s="168"/>
      <c r="AH50" s="20"/>
    </row>
    <row r="51" spans="1:35">
      <c r="A51" s="3"/>
      <c r="B51" s="231" t="s">
        <v>312</v>
      </c>
      <c r="C51" s="392">
        <v>5340813</v>
      </c>
      <c r="D51" s="392">
        <v>2578990.5</v>
      </c>
      <c r="E51" s="488">
        <f>+D51+C51</f>
        <v>7919803.5</v>
      </c>
      <c r="F51" s="358"/>
      <c r="G51" s="417"/>
      <c r="H51" s="235"/>
      <c r="I51" s="95"/>
      <c r="J51" s="165"/>
      <c r="K51" s="166"/>
      <c r="L51" s="96"/>
      <c r="M51" s="36"/>
      <c r="N51" s="36"/>
      <c r="O51" s="168"/>
      <c r="P51" s="168"/>
      <c r="Q51" s="168"/>
      <c r="R51" s="168"/>
      <c r="AH51" s="20"/>
    </row>
    <row r="52" spans="1:35">
      <c r="A52" s="3"/>
      <c r="B52" s="231" t="s">
        <v>313</v>
      </c>
      <c r="C52" s="391">
        <v>4723303.0199999996</v>
      </c>
      <c r="D52" s="505">
        <v>2758833.41</v>
      </c>
      <c r="E52" s="488">
        <f>+D52+C52</f>
        <v>7482136.4299999997</v>
      </c>
      <c r="F52" s="358"/>
      <c r="G52" s="418"/>
      <c r="H52" s="235"/>
      <c r="I52" s="95"/>
      <c r="J52" s="165"/>
      <c r="K52" s="165"/>
      <c r="L52" s="96"/>
      <c r="M52" s="37"/>
      <c r="N52" s="37"/>
      <c r="O52" s="168"/>
      <c r="P52" s="168"/>
      <c r="Q52" s="168"/>
      <c r="R52" s="168"/>
      <c r="AH52" s="20"/>
    </row>
    <row r="53" spans="1:35">
      <c r="A53" s="3"/>
      <c r="B53" s="231" t="s">
        <v>314</v>
      </c>
      <c r="C53" s="391">
        <v>121020.79</v>
      </c>
      <c r="D53" s="391">
        <v>27636.720000000001</v>
      </c>
      <c r="E53" s="488">
        <f>+D53+C53</f>
        <v>148657.51</v>
      </c>
      <c r="F53" s="358"/>
      <c r="G53" s="417"/>
      <c r="H53" s="235"/>
      <c r="I53" s="95"/>
      <c r="J53" s="165"/>
      <c r="K53" s="166"/>
      <c r="L53" s="96"/>
      <c r="M53" s="36"/>
      <c r="N53" s="36"/>
      <c r="O53"/>
      <c r="AH53" s="20"/>
    </row>
    <row r="54" spans="1:35" ht="15.75" thickBot="1">
      <c r="A54" s="3"/>
      <c r="B54" s="232" t="s">
        <v>315</v>
      </c>
      <c r="C54" s="393">
        <v>103779.32</v>
      </c>
      <c r="D54" s="393">
        <v>36960.769999999997</v>
      </c>
      <c r="E54" s="489">
        <f>+D54+C54</f>
        <v>140740.09</v>
      </c>
      <c r="F54" s="358"/>
      <c r="G54" s="419"/>
      <c r="H54" s="236"/>
      <c r="I54" s="97"/>
      <c r="J54" s="97"/>
      <c r="K54" s="97"/>
      <c r="L54" s="96"/>
      <c r="M54" s="37"/>
      <c r="N54" s="37"/>
      <c r="O54"/>
      <c r="AH54" s="20"/>
    </row>
    <row r="55" spans="1:35" ht="15.75" customHeight="1">
      <c r="A55" s="3"/>
      <c r="B55" s="3"/>
      <c r="C55" s="3"/>
      <c r="D55" s="3"/>
      <c r="E55" s="511"/>
      <c r="F55" s="15"/>
      <c r="G55" s="3"/>
      <c r="H55" s="3"/>
      <c r="I55" s="3"/>
      <c r="J55" s="3"/>
      <c r="K55" s="3"/>
      <c r="L55" s="3"/>
      <c r="M55" s="3"/>
      <c r="AI55" s="20"/>
    </row>
    <row r="56" spans="1:35">
      <c r="A56" s="3"/>
      <c r="B56" s="3"/>
      <c r="C56" s="3"/>
      <c r="D56" s="219"/>
      <c r="E56" s="3"/>
      <c r="F56" s="3"/>
      <c r="G56" s="3"/>
      <c r="H56" s="3"/>
      <c r="I56" s="3"/>
      <c r="J56" s="3"/>
      <c r="K56" s="3"/>
      <c r="L56" s="3"/>
      <c r="M56" s="3"/>
    </row>
    <row r="57" spans="1:35" ht="18.75">
      <c r="A57" s="3"/>
      <c r="B57" s="89" t="s">
        <v>378</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25" t="s">
        <v>318</v>
      </c>
      <c r="C59" s="726"/>
      <c r="D59" s="727"/>
      <c r="E59" s="3"/>
      <c r="F59" s="3"/>
      <c r="G59" s="3"/>
      <c r="H59" s="3"/>
      <c r="I59" s="3"/>
      <c r="J59" s="3"/>
      <c r="K59" s="3"/>
      <c r="L59" s="3"/>
      <c r="M59" s="35"/>
      <c r="O59"/>
    </row>
    <row r="60" spans="1:35">
      <c r="A60" s="3"/>
      <c r="B60" s="101"/>
      <c r="C60" s="238" t="s">
        <v>319</v>
      </c>
      <c r="D60" s="239" t="s">
        <v>320</v>
      </c>
      <c r="E60" s="358"/>
      <c r="F60" s="3"/>
      <c r="G60" s="3"/>
      <c r="H60" s="3"/>
      <c r="I60" s="3"/>
      <c r="J60" s="3"/>
      <c r="K60" s="3"/>
      <c r="L60" s="3"/>
      <c r="M60" s="35"/>
      <c r="O60"/>
    </row>
    <row r="61" spans="1:35">
      <c r="A61" s="3"/>
      <c r="B61" s="102" t="s">
        <v>321</v>
      </c>
      <c r="C61" s="433">
        <v>80</v>
      </c>
      <c r="D61" s="411">
        <v>80</v>
      </c>
      <c r="E61" s="358"/>
      <c r="F61" s="358"/>
      <c r="G61" s="3"/>
      <c r="H61" s="3"/>
      <c r="I61" s="3"/>
      <c r="J61" s="3"/>
      <c r="K61" s="3"/>
      <c r="L61" s="3"/>
      <c r="M61" s="35"/>
      <c r="O61"/>
    </row>
    <row r="62" spans="1:35">
      <c r="A62" s="3"/>
      <c r="B62" s="237" t="s">
        <v>322</v>
      </c>
      <c r="C62" s="433">
        <v>0</v>
      </c>
      <c r="D62" s="411">
        <v>0</v>
      </c>
      <c r="E62" s="3"/>
      <c r="F62" s="3"/>
      <c r="G62" s="3"/>
      <c r="H62" s="235"/>
      <c r="I62" s="235"/>
      <c r="J62" s="3"/>
      <c r="K62" s="3"/>
      <c r="L62" s="3"/>
      <c r="M62" s="35"/>
      <c r="O62"/>
    </row>
    <row r="63" spans="1:35" ht="15.75" thickBot="1">
      <c r="A63" s="3"/>
      <c r="B63" s="103" t="s">
        <v>323</v>
      </c>
      <c r="C63" s="412">
        <v>10</v>
      </c>
      <c r="D63" s="413">
        <v>10</v>
      </c>
      <c r="E63" s="3"/>
      <c r="F63" s="3"/>
      <c r="G63" s="3"/>
      <c r="H63" s="235"/>
      <c r="I63" s="235"/>
      <c r="J63" s="3"/>
      <c r="K63" s="3"/>
      <c r="L63" s="3"/>
      <c r="M63" s="35"/>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15"/>
      <c r="M65" s="3"/>
      <c r="AC65" s="19"/>
      <c r="AD65" s="19"/>
    </row>
    <row r="66" spans="1:30" ht="19.5" thickBot="1">
      <c r="A66" s="3"/>
      <c r="B66" s="104" t="s">
        <v>325</v>
      </c>
      <c r="C66" s="105"/>
      <c r="D66" s="105"/>
      <c r="E66" s="105"/>
      <c r="F66" s="105"/>
      <c r="G66" s="105" t="s">
        <v>433</v>
      </c>
      <c r="H66" s="350"/>
      <c r="I66" s="105"/>
      <c r="J66" s="106"/>
      <c r="K66" s="106"/>
      <c r="L66" s="316"/>
      <c r="M66" s="317"/>
      <c r="N66" s="83"/>
      <c r="O66" s="83"/>
      <c r="P66" s="83"/>
      <c r="S66" s="43"/>
      <c r="AC66" s="19"/>
      <c r="AD66" s="19"/>
    </row>
    <row r="67" spans="1:30" ht="18.75">
      <c r="A67" s="3"/>
      <c r="B67" s="108"/>
      <c r="C67" s="107"/>
      <c r="D67" s="107"/>
      <c r="E67" s="107"/>
      <c r="F67" s="107"/>
      <c r="G67" s="107"/>
      <c r="H67" s="107"/>
      <c r="I67" s="107"/>
      <c r="J67" s="107"/>
      <c r="K67" s="109"/>
      <c r="L67" s="109"/>
      <c r="M67" s="107"/>
      <c r="N67" s="83"/>
      <c r="O67" s="83"/>
      <c r="P67" s="83"/>
      <c r="S67" s="43"/>
      <c r="AC67" s="19"/>
      <c r="AD67" s="19"/>
    </row>
    <row r="68" spans="1:30" ht="18.75">
      <c r="A68" s="3"/>
      <c r="B68" s="108" t="s">
        <v>326</v>
      </c>
      <c r="C68" s="107"/>
      <c r="D68" s="107"/>
      <c r="E68" s="107"/>
      <c r="F68" s="107"/>
      <c r="G68" s="107"/>
      <c r="H68" s="107"/>
      <c r="I68" s="107"/>
      <c r="J68" s="107"/>
      <c r="K68" s="109"/>
      <c r="L68" s="109"/>
      <c r="M68" s="107"/>
      <c r="N68" s="83"/>
      <c r="O68" s="83"/>
      <c r="P68" s="83"/>
      <c r="S68" s="43"/>
      <c r="AC68" s="19"/>
      <c r="AD68" s="19"/>
    </row>
    <row r="69" spans="1:30" ht="15.75" thickBot="1">
      <c r="A69" s="3"/>
      <c r="B69" s="2"/>
      <c r="C69" s="110"/>
      <c r="D69" s="110"/>
      <c r="E69" s="110"/>
      <c r="F69" s="110"/>
      <c r="G69" s="110"/>
      <c r="H69" s="2"/>
      <c r="I69" s="110"/>
      <c r="J69" s="2"/>
      <c r="K69" s="2"/>
      <c r="L69" s="2"/>
      <c r="M69" s="2"/>
      <c r="N69" s="20"/>
      <c r="O69" s="19"/>
      <c r="P69" s="19"/>
      <c r="Q69" s="19"/>
      <c r="R69" s="19"/>
      <c r="S69" s="19"/>
      <c r="AD69" s="19"/>
    </row>
    <row r="70" spans="1:30" ht="60">
      <c r="A70" s="3"/>
      <c r="B70" s="689"/>
      <c r="C70" s="690"/>
      <c r="D70" s="111" t="s">
        <v>329</v>
      </c>
      <c r="E70" s="112" t="s">
        <v>330</v>
      </c>
      <c r="F70" s="112" t="s">
        <v>331</v>
      </c>
      <c r="G70" s="113" t="s">
        <v>39</v>
      </c>
      <c r="H70" s="243"/>
      <c r="I70" s="244"/>
      <c r="J70" s="15"/>
      <c r="K70" s="2"/>
      <c r="L70" s="2"/>
      <c r="M70" s="2"/>
      <c r="N70" s="20"/>
      <c r="O70" s="19"/>
      <c r="P70" s="19"/>
      <c r="Q70" s="19"/>
      <c r="R70" s="19"/>
      <c r="S70" s="19"/>
    </row>
    <row r="71" spans="1:30">
      <c r="A71" s="3"/>
      <c r="B71" s="731" t="s">
        <v>327</v>
      </c>
      <c r="C71" s="732"/>
      <c r="D71" s="208">
        <v>3</v>
      </c>
      <c r="E71" s="208"/>
      <c r="F71" s="208"/>
      <c r="G71" s="432">
        <f>SUM(D71:F71)</f>
        <v>3</v>
      </c>
      <c r="H71" s="229"/>
      <c r="I71" s="242"/>
      <c r="J71" s="242"/>
      <c r="K71" s="2" t="s">
        <v>324</v>
      </c>
      <c r="L71" s="2"/>
      <c r="M71" s="2"/>
      <c r="N71" s="20"/>
      <c r="O71" s="19"/>
      <c r="P71" s="19"/>
      <c r="Q71" s="19"/>
      <c r="R71" s="19"/>
      <c r="S71" s="19"/>
    </row>
    <row r="72" spans="1:30" ht="15.75" thickBot="1">
      <c r="A72" s="3"/>
      <c r="B72" s="687" t="s">
        <v>328</v>
      </c>
      <c r="C72" s="688"/>
      <c r="D72" s="209"/>
      <c r="E72" s="209"/>
      <c r="F72" s="209"/>
      <c r="G72" s="116">
        <f>SUM(D72:F72)</f>
        <v>0</v>
      </c>
      <c r="H72" s="229"/>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08" t="s">
        <v>332</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7"/>
      <c r="C77" s="349" t="s">
        <v>333</v>
      </c>
      <c r="D77" s="349" t="s">
        <v>334</v>
      </c>
      <c r="E77" s="118" t="s">
        <v>335</v>
      </c>
      <c r="F77" s="15"/>
      <c r="G77" s="15"/>
      <c r="H77" s="15"/>
      <c r="I77" s="244"/>
      <c r="J77" s="2"/>
      <c r="K77" s="2"/>
      <c r="L77" s="2"/>
      <c r="M77" s="2"/>
      <c r="N77" s="19"/>
      <c r="O77" s="19"/>
      <c r="P77" s="19"/>
      <c r="S77" s="19"/>
    </row>
    <row r="78" spans="1:30" ht="15.75" thickBot="1">
      <c r="A78" s="3"/>
      <c r="B78" s="119" t="s">
        <v>431</v>
      </c>
      <c r="C78" s="434">
        <v>6</v>
      </c>
      <c r="D78" s="434">
        <v>6</v>
      </c>
      <c r="E78" s="435">
        <f>+C78-D78</f>
        <v>0</v>
      </c>
      <c r="F78" s="212"/>
      <c r="G78" s="217"/>
      <c r="H78" s="15"/>
      <c r="I78" s="242"/>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08" t="s">
        <v>336</v>
      </c>
      <c r="C80" s="2"/>
      <c r="D80" s="2"/>
      <c r="E80" s="2"/>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ht="30">
      <c r="A82" s="3"/>
      <c r="B82" s="117"/>
      <c r="C82" s="349" t="s">
        <v>337</v>
      </c>
      <c r="D82" s="349" t="s">
        <v>338</v>
      </c>
      <c r="E82" s="349" t="s">
        <v>339</v>
      </c>
      <c r="F82" s="349" t="s">
        <v>340</v>
      </c>
      <c r="G82" s="143" t="s">
        <v>341</v>
      </c>
      <c r="H82" s="218"/>
      <c r="I82" s="244"/>
      <c r="J82" s="2"/>
      <c r="K82" s="2"/>
      <c r="L82" s="2"/>
      <c r="M82" s="2"/>
      <c r="N82" s="19"/>
      <c r="O82" s="19"/>
      <c r="P82" s="19"/>
      <c r="S82" s="19"/>
    </row>
    <row r="83" spans="1:36" ht="15.75" thickBot="1">
      <c r="A83" s="3"/>
      <c r="B83" s="119" t="s">
        <v>79</v>
      </c>
      <c r="C83" s="434">
        <v>1</v>
      </c>
      <c r="D83" s="434">
        <v>1</v>
      </c>
      <c r="E83" s="434">
        <v>1</v>
      </c>
      <c r="F83" s="434">
        <v>1</v>
      </c>
      <c r="G83" s="436">
        <v>1</v>
      </c>
      <c r="H83" s="245"/>
      <c r="I83" s="229"/>
      <c r="J83" s="2"/>
      <c r="K83" s="2"/>
      <c r="L83" s="2"/>
      <c r="M83" s="2"/>
      <c r="N83" s="19"/>
      <c r="O83" s="19"/>
      <c r="P83" s="19"/>
      <c r="S83" s="19"/>
    </row>
    <row r="84" spans="1:36">
      <c r="A84" s="3"/>
      <c r="B84" s="2"/>
      <c r="C84" s="437"/>
      <c r="D84" s="437"/>
      <c r="E84" s="437"/>
      <c r="F84" s="437"/>
      <c r="G84" s="437"/>
      <c r="H84" s="2"/>
      <c r="J84" s="2"/>
      <c r="K84" s="2"/>
      <c r="L84" s="2"/>
      <c r="M84" s="2"/>
      <c r="N84" s="19"/>
      <c r="O84" s="19"/>
      <c r="P84" s="19"/>
      <c r="S84" s="19"/>
    </row>
    <row r="85" spans="1:36" ht="18.75">
      <c r="A85" s="3"/>
      <c r="B85" s="108" t="s">
        <v>342</v>
      </c>
      <c r="C85" s="2"/>
      <c r="D85" s="2"/>
      <c r="E85" s="2"/>
      <c r="F85" s="2"/>
      <c r="G85" s="2"/>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7"/>
      <c r="C87" s="120" t="s">
        <v>345</v>
      </c>
      <c r="D87" s="120" t="s">
        <v>346</v>
      </c>
      <c r="E87" s="121" t="s">
        <v>347</v>
      </c>
      <c r="F87" s="2"/>
      <c r="G87" s="2"/>
      <c r="H87" s="2"/>
      <c r="I87" s="2"/>
      <c r="J87" s="19"/>
      <c r="K87" s="19"/>
      <c r="L87" s="19"/>
      <c r="N87"/>
      <c r="O87" s="19"/>
      <c r="AG87" s="35"/>
      <c r="AJ87"/>
    </row>
    <row r="88" spans="1:36">
      <c r="A88" s="3"/>
      <c r="B88" s="114" t="s">
        <v>343</v>
      </c>
      <c r="C88" s="208">
        <v>0</v>
      </c>
      <c r="D88" s="438">
        <v>0</v>
      </c>
      <c r="E88" s="439">
        <f>C88-D88</f>
        <v>0</v>
      </c>
      <c r="F88" s="2"/>
      <c r="G88" s="2"/>
      <c r="H88" s="2"/>
      <c r="I88" s="2"/>
      <c r="J88" s="19"/>
      <c r="K88" s="19"/>
      <c r="L88" s="19"/>
      <c r="N88"/>
      <c r="O88" s="19"/>
      <c r="AG88" s="35"/>
      <c r="AJ88"/>
    </row>
    <row r="89" spans="1:36" ht="15.75" thickBot="1">
      <c r="A89" s="3"/>
      <c r="B89" s="115" t="s">
        <v>344</v>
      </c>
      <c r="C89" s="209">
        <v>3</v>
      </c>
      <c r="D89" s="440">
        <v>3</v>
      </c>
      <c r="E89" s="441">
        <f>C89-D89</f>
        <v>0</v>
      </c>
      <c r="F89" s="2"/>
      <c r="G89" s="2"/>
      <c r="H89" s="2"/>
      <c r="I89" s="2"/>
      <c r="J89" s="19"/>
      <c r="K89" s="19"/>
      <c r="L89" s="19"/>
      <c r="N89"/>
      <c r="O89" s="19"/>
      <c r="AG89" s="35"/>
      <c r="AJ89"/>
    </row>
    <row r="90" spans="1:36">
      <c r="A90" s="3"/>
      <c r="B90" s="2"/>
      <c r="C90" s="2"/>
      <c r="D90" s="2"/>
      <c r="E90" s="2"/>
      <c r="F90" s="2"/>
      <c r="G90" s="2"/>
      <c r="H90" s="2"/>
      <c r="I90" s="2"/>
      <c r="J90" s="2"/>
      <c r="K90" s="2"/>
      <c r="L90" s="2"/>
      <c r="M90" s="2"/>
      <c r="N90" s="19"/>
      <c r="O90" s="19"/>
      <c r="P90" s="19"/>
      <c r="S90" s="19"/>
    </row>
    <row r="91" spans="1:36" ht="18.75">
      <c r="A91" s="3"/>
      <c r="B91" s="108" t="s">
        <v>348</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179"/>
      <c r="C93" s="287" t="s">
        <v>62</v>
      </c>
      <c r="D93" s="287" t="s">
        <v>63</v>
      </c>
      <c r="E93" s="287" t="s">
        <v>64</v>
      </c>
      <c r="F93" s="287" t="s">
        <v>65</v>
      </c>
      <c r="G93" s="287" t="s">
        <v>72</v>
      </c>
      <c r="H93" s="287" t="s">
        <v>73</v>
      </c>
      <c r="I93" s="287" t="s">
        <v>74</v>
      </c>
      <c r="J93" s="287" t="s">
        <v>75</v>
      </c>
      <c r="K93" s="287" t="s">
        <v>76</v>
      </c>
      <c r="L93" s="287" t="s">
        <v>77</v>
      </c>
      <c r="M93" s="287" t="s">
        <v>78</v>
      </c>
      <c r="N93" s="288" t="s">
        <v>232</v>
      </c>
      <c r="O93" s="20"/>
      <c r="P93" s="20"/>
      <c r="S93" s="19"/>
    </row>
    <row r="94" spans="1:36" ht="15" customHeight="1">
      <c r="A94" s="3"/>
      <c r="B94" s="289" t="s">
        <v>349</v>
      </c>
      <c r="C94" s="394">
        <v>1387405.1</v>
      </c>
      <c r="D94" s="394">
        <v>465365.61</v>
      </c>
      <c r="E94" s="279">
        <v>1011697.52</v>
      </c>
      <c r="F94" s="279">
        <v>796892.74</v>
      </c>
      <c r="G94" s="279">
        <v>2649257.31</v>
      </c>
      <c r="H94" s="394"/>
      <c r="I94" s="394"/>
      <c r="J94" s="279"/>
      <c r="K94" s="279"/>
      <c r="L94" s="279"/>
      <c r="M94" s="279"/>
      <c r="N94" s="339"/>
      <c r="O94" s="20"/>
      <c r="P94" s="20"/>
      <c r="S94" s="19"/>
    </row>
    <row r="95" spans="1:36" ht="15" customHeight="1">
      <c r="A95" s="3"/>
      <c r="B95" s="289" t="s">
        <v>350</v>
      </c>
      <c r="C95" s="394">
        <v>1585909.66</v>
      </c>
      <c r="D95" s="394">
        <v>477235.64</v>
      </c>
      <c r="E95" s="279">
        <v>1165384.79</v>
      </c>
      <c r="F95" s="279">
        <v>676627.95</v>
      </c>
      <c r="G95" s="279">
        <v>2909253.13</v>
      </c>
      <c r="H95" s="394"/>
      <c r="I95" s="394"/>
      <c r="J95" s="279"/>
      <c r="K95" s="279"/>
      <c r="L95" s="279"/>
      <c r="M95" s="279"/>
      <c r="N95" s="339"/>
      <c r="O95" s="20"/>
      <c r="P95" s="20"/>
      <c r="S95" s="19"/>
    </row>
    <row r="96" spans="1:36" ht="15" customHeight="1">
      <c r="A96" s="3"/>
      <c r="B96" s="289" t="s">
        <v>351</v>
      </c>
      <c r="C96" s="394">
        <v>1387405.1</v>
      </c>
      <c r="D96" s="394">
        <v>465365.61</v>
      </c>
      <c r="E96" s="279">
        <v>1011697.52</v>
      </c>
      <c r="F96" s="279">
        <v>966607.85</v>
      </c>
      <c r="G96" s="279">
        <v>2386862.89</v>
      </c>
      <c r="H96" s="394"/>
      <c r="I96" s="394"/>
      <c r="J96" s="279"/>
      <c r="K96" s="279"/>
      <c r="L96" s="279"/>
      <c r="M96" s="279"/>
      <c r="N96" s="339"/>
      <c r="O96" s="20"/>
      <c r="P96" s="20"/>
      <c r="S96" s="19"/>
    </row>
    <row r="97" spans="1:19" ht="15" customHeight="1">
      <c r="A97" s="3"/>
      <c r="B97" s="247" t="s">
        <v>352</v>
      </c>
      <c r="C97" s="442">
        <v>2475363.62</v>
      </c>
      <c r="D97" s="395">
        <f>+C97+D94</f>
        <v>2940729.23</v>
      </c>
      <c r="E97" s="280">
        <f>+D97+E94</f>
        <v>3952426.75</v>
      </c>
      <c r="F97" s="280">
        <f t="shared" ref="F97:N97" si="4">+E97+F94</f>
        <v>4749319.49</v>
      </c>
      <c r="G97" s="280">
        <f t="shared" si="4"/>
        <v>7398576.8000000007</v>
      </c>
      <c r="H97" s="395">
        <f t="shared" si="4"/>
        <v>7398576.8000000007</v>
      </c>
      <c r="I97" s="395">
        <f t="shared" si="4"/>
        <v>7398576.8000000007</v>
      </c>
      <c r="J97" s="280">
        <f t="shared" si="4"/>
        <v>7398576.8000000007</v>
      </c>
      <c r="K97" s="280">
        <f t="shared" si="4"/>
        <v>7398576.8000000007</v>
      </c>
      <c r="L97" s="395">
        <f>+K97+L94</f>
        <v>7398576.8000000007</v>
      </c>
      <c r="M97" s="395">
        <f t="shared" si="4"/>
        <v>7398576.8000000007</v>
      </c>
      <c r="N97" s="420">
        <f t="shared" si="4"/>
        <v>7398576.8000000007</v>
      </c>
      <c r="O97" s="20"/>
      <c r="P97" s="20"/>
      <c r="S97" s="19"/>
    </row>
    <row r="98" spans="1:19" ht="15" customHeight="1">
      <c r="A98" s="3"/>
      <c r="B98" s="247" t="s">
        <v>353</v>
      </c>
      <c r="C98" s="442">
        <v>87919.039999999994</v>
      </c>
      <c r="D98" s="395">
        <f t="shared" ref="D98:N99" si="5">+C98+D95</f>
        <v>565154.68000000005</v>
      </c>
      <c r="E98" s="280">
        <f>+D98+E95</f>
        <v>1730539.4700000002</v>
      </c>
      <c r="F98" s="280">
        <f t="shared" si="5"/>
        <v>2407167.42</v>
      </c>
      <c r="G98" s="280">
        <f t="shared" si="5"/>
        <v>5316420.55</v>
      </c>
      <c r="H98" s="395">
        <f t="shared" si="5"/>
        <v>5316420.55</v>
      </c>
      <c r="I98" s="395">
        <f>+H98+I95</f>
        <v>5316420.55</v>
      </c>
      <c r="J98" s="280">
        <f t="shared" si="5"/>
        <v>5316420.55</v>
      </c>
      <c r="K98" s="280">
        <f>+J98+K95</f>
        <v>5316420.55</v>
      </c>
      <c r="L98" s="395">
        <f>+K98+L95</f>
        <v>5316420.55</v>
      </c>
      <c r="M98" s="395">
        <f t="shared" si="5"/>
        <v>5316420.55</v>
      </c>
      <c r="N98" s="420">
        <f t="shared" si="5"/>
        <v>5316420.55</v>
      </c>
      <c r="O98" s="20"/>
      <c r="P98" s="20"/>
      <c r="S98" s="19"/>
    </row>
    <row r="99" spans="1:19" ht="15.75" thickBot="1">
      <c r="A99" s="3"/>
      <c r="B99" s="337" t="s">
        <v>354</v>
      </c>
      <c r="C99" s="443">
        <v>1387405.1</v>
      </c>
      <c r="D99" s="396">
        <f t="shared" si="5"/>
        <v>1852770.71</v>
      </c>
      <c r="E99" s="338">
        <f>+D99+E96</f>
        <v>2864468.23</v>
      </c>
      <c r="F99" s="338">
        <f t="shared" si="5"/>
        <v>3831076.08</v>
      </c>
      <c r="G99" s="338">
        <f t="shared" si="5"/>
        <v>6217938.9700000007</v>
      </c>
      <c r="H99" s="396">
        <f t="shared" si="5"/>
        <v>6217938.9700000007</v>
      </c>
      <c r="I99" s="396">
        <f t="shared" si="5"/>
        <v>6217938.9700000007</v>
      </c>
      <c r="J99" s="338">
        <f t="shared" si="5"/>
        <v>6217938.9700000007</v>
      </c>
      <c r="K99" s="338">
        <f t="shared" si="5"/>
        <v>6217938.9700000007</v>
      </c>
      <c r="L99" s="396">
        <f t="shared" si="5"/>
        <v>6217938.9700000007</v>
      </c>
      <c r="M99" s="396">
        <f>+L99+M96</f>
        <v>6217938.9700000007</v>
      </c>
      <c r="N99" s="421">
        <f t="shared" si="5"/>
        <v>6217938.9700000007</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476</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422"/>
      <c r="O102" s="20"/>
      <c r="P102" s="20"/>
      <c r="S102" s="19"/>
    </row>
    <row r="103" spans="1:19">
      <c r="A103" s="3"/>
      <c r="B103" s="3"/>
      <c r="C103" s="3"/>
      <c r="D103" s="3"/>
      <c r="E103" s="3"/>
      <c r="F103" s="3"/>
      <c r="G103" s="3"/>
      <c r="H103" s="3"/>
      <c r="I103" s="15"/>
      <c r="J103" s="15"/>
      <c r="K103" s="15"/>
      <c r="L103" s="15"/>
      <c r="M103" s="15"/>
      <c r="N103" s="422"/>
      <c r="O103" s="20"/>
      <c r="P103" s="20"/>
    </row>
    <row r="104" spans="1:19" ht="18.75">
      <c r="A104" s="3"/>
      <c r="B104" s="108" t="s">
        <v>355</v>
      </c>
      <c r="C104" s="3"/>
      <c r="D104" s="3"/>
      <c r="E104" s="3"/>
      <c r="F104" s="3"/>
      <c r="G104" s="3"/>
      <c r="H104" s="3"/>
      <c r="I104" s="15"/>
      <c r="J104" s="15"/>
      <c r="K104" s="15"/>
      <c r="L104" s="15"/>
      <c r="M104" s="15"/>
      <c r="N104" s="422"/>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248" t="s">
        <v>356</v>
      </c>
      <c r="C106" s="249" t="s">
        <v>357</v>
      </c>
      <c r="D106" s="251" t="s">
        <v>358</v>
      </c>
      <c r="E106" s="251" t="s">
        <v>359</v>
      </c>
      <c r="F106" s="250" t="s">
        <v>360</v>
      </c>
      <c r="G106" s="250" t="s">
        <v>361</v>
      </c>
      <c r="H106" s="251" t="s">
        <v>362</v>
      </c>
      <c r="I106" s="251" t="s">
        <v>384</v>
      </c>
      <c r="J106" s="251" t="s">
        <v>363</v>
      </c>
      <c r="K106" s="252" t="s">
        <v>364</v>
      </c>
      <c r="L106" s="2"/>
      <c r="M106" s="20"/>
      <c r="N106" s="20"/>
      <c r="O106" s="20"/>
      <c r="P106" s="19"/>
      <c r="R106" s="20"/>
    </row>
    <row r="107" spans="1:19">
      <c r="A107" s="3"/>
      <c r="B107" s="736" t="s">
        <v>270</v>
      </c>
      <c r="C107" s="306" t="s">
        <v>270</v>
      </c>
      <c r="D107" s="307"/>
      <c r="E107" s="308" t="str">
        <f>IF(ISBLANK(D107),"",D107*30)</f>
        <v/>
      </c>
      <c r="F107" s="281"/>
      <c r="G107" s="282" t="str">
        <f>IF(AND(E107&gt;0,F107&gt;0),(F107*E107),"")</f>
        <v/>
      </c>
      <c r="H107" s="281"/>
      <c r="I107" s="321" t="str">
        <f>IF(AND(G107&gt;0,H107&gt;0),H107/G107,"")</f>
        <v/>
      </c>
      <c r="J107" s="309"/>
      <c r="K107" s="340" t="str">
        <f>IF(AND(I107&gt;0,J107&gt;0),I107-J107,"")</f>
        <v/>
      </c>
      <c r="L107" s="2"/>
      <c r="M107" s="20"/>
      <c r="N107" s="20"/>
      <c r="O107" s="20"/>
      <c r="P107" s="19"/>
      <c r="R107" s="20"/>
    </row>
    <row r="108" spans="1:19">
      <c r="A108" s="3"/>
      <c r="B108" s="737"/>
      <c r="C108" s="306" t="s">
        <v>270</v>
      </c>
      <c r="D108" s="307"/>
      <c r="E108" s="308" t="str">
        <f>IF(ISBLANK(D108),"",D108*30)</f>
        <v/>
      </c>
      <c r="F108" s="281"/>
      <c r="G108" s="282" t="str">
        <f>IF(AND(E108&gt;0,F108&gt;0),(F108*E108),"")</f>
        <v/>
      </c>
      <c r="H108" s="281"/>
      <c r="I108" s="321" t="str">
        <f>IF(AND(G108&gt;0,H108&gt;0),H108/G108,"")</f>
        <v/>
      </c>
      <c r="J108" s="309"/>
      <c r="K108" s="340" t="str">
        <f>IF(AND(I108&gt;0,J108&gt;0),I108-J108,"")</f>
        <v/>
      </c>
      <c r="L108" s="2"/>
      <c r="M108" s="20"/>
      <c r="N108" s="20"/>
      <c r="O108" s="20"/>
      <c r="P108" s="19"/>
    </row>
    <row r="109" spans="1:19">
      <c r="A109" s="3"/>
      <c r="B109" s="737"/>
      <c r="C109" s="306" t="s">
        <v>270</v>
      </c>
      <c r="D109" s="307"/>
      <c r="E109" s="308" t="str">
        <f>IF(ISBLANK(D109),"",D109*30)</f>
        <v/>
      </c>
      <c r="F109" s="281"/>
      <c r="G109" s="282" t="str">
        <f>IF(AND(E109&gt;0,F109&gt;0),(F109*E109),"")</f>
        <v/>
      </c>
      <c r="H109" s="281"/>
      <c r="I109" s="321" t="str">
        <f>IF(AND(G109&gt;0,H109&gt;0),H109/G109,"")</f>
        <v/>
      </c>
      <c r="J109" s="309"/>
      <c r="K109" s="340" t="str">
        <f>IF(AND(I109&gt;0,J109&gt;0),I109-J109,"")</f>
        <v/>
      </c>
      <c r="L109" s="2"/>
      <c r="M109" s="20"/>
      <c r="N109" s="20"/>
      <c r="O109" s="20"/>
      <c r="P109" s="19"/>
      <c r="R109" s="20"/>
    </row>
    <row r="110" spans="1:19" ht="15.75" thickBot="1">
      <c r="A110" s="3"/>
      <c r="B110" s="738"/>
      <c r="C110" s="310" t="s">
        <v>270</v>
      </c>
      <c r="D110" s="311"/>
      <c r="E110" s="334" t="str">
        <f>IF(ISBLANK(D110),"",D110*30)</f>
        <v/>
      </c>
      <c r="F110" s="283"/>
      <c r="G110" s="335" t="str">
        <f>IF(AND(E110&gt;0,F110&gt;0),(F110*E110),"")</f>
        <v/>
      </c>
      <c r="H110" s="283"/>
      <c r="I110" s="336" t="str">
        <f>IF(AND(G110&gt;0,H110&gt;0),H110/G110,"")</f>
        <v/>
      </c>
      <c r="J110" s="312"/>
      <c r="K110" s="341" t="str">
        <f>IF(AND(I110&gt;0,J110&gt;0),I110-J110,"")</f>
        <v/>
      </c>
      <c r="L110" s="2"/>
      <c r="M110" s="20"/>
      <c r="N110" s="20"/>
      <c r="O110" s="20"/>
      <c r="P110" s="19"/>
      <c r="R110" s="20"/>
    </row>
    <row r="111" spans="1:19">
      <c r="A111" s="3"/>
      <c r="B111" s="3"/>
      <c r="C111" s="3"/>
      <c r="D111" s="3"/>
      <c r="E111" s="3"/>
      <c r="F111" s="3"/>
      <c r="G111" s="2"/>
      <c r="H111" s="2"/>
      <c r="I111" s="2"/>
      <c r="J111" s="3"/>
      <c r="K111" s="3"/>
      <c r="L111" s="2"/>
      <c r="M111" s="2"/>
      <c r="N111" s="20"/>
      <c r="O111" s="20"/>
      <c r="P111" s="20"/>
      <c r="Q111" s="19"/>
      <c r="S111" s="20"/>
    </row>
    <row r="112" spans="1:19" ht="15.75" thickBot="1">
      <c r="A112" s="3"/>
      <c r="B112" s="3"/>
      <c r="C112" s="3"/>
      <c r="D112" s="3"/>
      <c r="E112" s="3"/>
      <c r="F112" s="3"/>
      <c r="G112" s="3"/>
      <c r="H112" s="3"/>
      <c r="I112" s="2"/>
      <c r="J112" s="107"/>
      <c r="K112" s="107"/>
      <c r="L112" s="3"/>
      <c r="M112" s="3"/>
    </row>
    <row r="113" spans="1:20" ht="19.5" thickBot="1">
      <c r="A113" s="3"/>
      <c r="B113" s="198" t="s">
        <v>365</v>
      </c>
      <c r="C113" s="125"/>
      <c r="D113" s="125"/>
      <c r="E113" s="126"/>
      <c r="F113" s="126"/>
      <c r="G113" s="126"/>
      <c r="H113" s="205"/>
      <c r="I113" s="199"/>
      <c r="J113" s="265"/>
      <c r="K113" s="266" t="s">
        <v>425</v>
      </c>
      <c r="L113" s="126"/>
      <c r="M113" s="267"/>
      <c r="N113" s="268"/>
      <c r="O113" s="268"/>
      <c r="P113" s="314"/>
      <c r="Q113" s="35"/>
    </row>
    <row r="114" spans="1:20" ht="15.75" thickBot="1">
      <c r="A114" s="3"/>
      <c r="B114" s="3"/>
      <c r="C114" s="3"/>
      <c r="D114" s="3"/>
      <c r="E114" s="3"/>
      <c r="F114" s="3"/>
      <c r="G114" s="3"/>
      <c r="H114" s="3"/>
      <c r="I114" s="3"/>
      <c r="J114" s="3"/>
      <c r="K114" s="3"/>
      <c r="L114" s="3"/>
      <c r="M114" s="3"/>
      <c r="N114"/>
      <c r="O114"/>
      <c r="P114" s="35"/>
      <c r="Q114" s="35"/>
    </row>
    <row r="115" spans="1:20" ht="42.75" customHeight="1">
      <c r="A115" s="3"/>
      <c r="B115" s="733" t="s">
        <v>370</v>
      </c>
      <c r="C115" s="734"/>
      <c r="D115" s="735"/>
      <c r="E115" s="254" t="s">
        <v>371</v>
      </c>
      <c r="F115" s="353" t="s">
        <v>372</v>
      </c>
      <c r="G115" s="202"/>
      <c r="H115" s="296" t="s">
        <v>62</v>
      </c>
      <c r="I115" s="296" t="s">
        <v>63</v>
      </c>
      <c r="J115" s="296" t="s">
        <v>281</v>
      </c>
      <c r="K115" s="296" t="s">
        <v>65</v>
      </c>
      <c r="L115" s="296" t="s">
        <v>72</v>
      </c>
      <c r="M115" s="296" t="s">
        <v>73</v>
      </c>
      <c r="N115" s="296" t="s">
        <v>74</v>
      </c>
      <c r="O115" s="296" t="s">
        <v>75</v>
      </c>
      <c r="P115" s="296" t="s">
        <v>76</v>
      </c>
      <c r="Q115" s="296" t="s">
        <v>77</v>
      </c>
      <c r="R115" s="296" t="s">
        <v>78</v>
      </c>
      <c r="S115" s="297" t="s">
        <v>232</v>
      </c>
      <c r="T115" s="63"/>
    </row>
    <row r="116" spans="1:20" ht="21.75" customHeight="1">
      <c r="A116" s="730" t="s">
        <v>271</v>
      </c>
      <c r="B116" s="669" t="s">
        <v>474</v>
      </c>
      <c r="C116" s="670"/>
      <c r="D116" s="671"/>
      <c r="E116" s="678" t="s">
        <v>421</v>
      </c>
      <c r="F116" s="680" t="s">
        <v>369</v>
      </c>
      <c r="G116" s="347" t="s">
        <v>366</v>
      </c>
      <c r="H116" s="520">
        <v>10</v>
      </c>
      <c r="I116" s="521">
        <v>10</v>
      </c>
      <c r="J116" s="522">
        <v>9.3000000000000007</v>
      </c>
      <c r="K116" s="520">
        <v>9.3000000000000007</v>
      </c>
      <c r="L116" s="523">
        <v>8.6999999999999993</v>
      </c>
      <c r="M116" s="520"/>
      <c r="N116" s="520"/>
      <c r="O116" s="520"/>
      <c r="P116" s="520"/>
      <c r="Q116" s="520"/>
      <c r="R116" s="520"/>
      <c r="S116" s="524"/>
      <c r="T116" s="63"/>
    </row>
    <row r="117" spans="1:20" ht="21" customHeight="1">
      <c r="A117" s="730"/>
      <c r="B117" s="672"/>
      <c r="C117" s="673"/>
      <c r="D117" s="674"/>
      <c r="E117" s="679"/>
      <c r="F117" s="681"/>
      <c r="G117" s="347" t="s">
        <v>367</v>
      </c>
      <c r="H117" s="525">
        <v>9.9600000000000009</v>
      </c>
      <c r="I117" s="520">
        <v>10.130000000000001</v>
      </c>
      <c r="J117" s="522">
        <v>9.3000000000000007</v>
      </c>
      <c r="K117" s="522">
        <v>9.1999999999999993</v>
      </c>
      <c r="L117" s="523">
        <v>7.9</v>
      </c>
      <c r="M117" s="520"/>
      <c r="N117" s="520"/>
      <c r="O117" s="520"/>
      <c r="P117" s="520"/>
      <c r="Q117" s="520"/>
      <c r="R117" s="520"/>
      <c r="S117" s="524"/>
      <c r="T117" s="63"/>
    </row>
    <row r="118" spans="1:20" ht="30" customHeight="1">
      <c r="A118" s="730"/>
      <c r="B118" s="686" t="s">
        <v>470</v>
      </c>
      <c r="C118" s="670"/>
      <c r="D118" s="671"/>
      <c r="E118" s="684" t="s">
        <v>438</v>
      </c>
      <c r="F118" s="682" t="s">
        <v>369</v>
      </c>
      <c r="G118" s="406" t="s">
        <v>366</v>
      </c>
      <c r="H118" s="526">
        <v>22</v>
      </c>
      <c r="I118" s="527">
        <v>22</v>
      </c>
      <c r="J118" s="528">
        <v>21.5</v>
      </c>
      <c r="K118" s="526">
        <v>21.5</v>
      </c>
      <c r="L118" s="526">
        <v>20.5</v>
      </c>
      <c r="M118" s="526"/>
      <c r="N118" s="526"/>
      <c r="O118" s="526"/>
      <c r="P118" s="526"/>
      <c r="Q118" s="526"/>
      <c r="R118" s="526"/>
      <c r="S118" s="529"/>
      <c r="T118" s="63"/>
    </row>
    <row r="119" spans="1:20" ht="31.5" customHeight="1">
      <c r="A119" s="730"/>
      <c r="B119" s="672"/>
      <c r="C119" s="673"/>
      <c r="D119" s="674"/>
      <c r="E119" s="685"/>
      <c r="F119" s="683"/>
      <c r="G119" s="406" t="s">
        <v>367</v>
      </c>
      <c r="H119" s="526">
        <v>27.2</v>
      </c>
      <c r="I119" s="526">
        <v>25.3</v>
      </c>
      <c r="J119" s="528">
        <v>24.9</v>
      </c>
      <c r="K119" s="526">
        <v>26.1</v>
      </c>
      <c r="L119" s="526">
        <v>24.4</v>
      </c>
      <c r="M119" s="526"/>
      <c r="N119" s="526"/>
      <c r="O119" s="526"/>
      <c r="P119" s="526"/>
      <c r="Q119" s="526"/>
      <c r="R119" s="526"/>
      <c r="S119" s="529"/>
      <c r="T119" s="63"/>
    </row>
    <row r="120" spans="1:20" ht="32.25" customHeight="1">
      <c r="A120" s="730"/>
      <c r="B120" s="669" t="s">
        <v>471</v>
      </c>
      <c r="C120" s="670"/>
      <c r="D120" s="671"/>
      <c r="E120" s="678" t="s">
        <v>429</v>
      </c>
      <c r="F120" s="680" t="s">
        <v>369</v>
      </c>
      <c r="G120" s="347" t="s">
        <v>366</v>
      </c>
      <c r="H120" s="520">
        <v>55</v>
      </c>
      <c r="I120" s="521">
        <v>55</v>
      </c>
      <c r="J120" s="522">
        <v>60</v>
      </c>
      <c r="K120" s="530">
        <v>60</v>
      </c>
      <c r="L120" s="530">
        <v>65</v>
      </c>
      <c r="M120" s="531"/>
      <c r="N120" s="531"/>
      <c r="O120" s="531"/>
      <c r="P120" s="531"/>
      <c r="Q120" s="531"/>
      <c r="R120" s="531"/>
      <c r="S120" s="524"/>
      <c r="T120" s="63"/>
    </row>
    <row r="121" spans="1:20" ht="30.75" customHeight="1">
      <c r="A121" s="730"/>
      <c r="B121" s="672"/>
      <c r="C121" s="673"/>
      <c r="D121" s="674"/>
      <c r="E121" s="679"/>
      <c r="F121" s="681"/>
      <c r="G121" s="347" t="s">
        <v>367</v>
      </c>
      <c r="H121" s="525">
        <v>59</v>
      </c>
      <c r="I121" s="520">
        <v>59</v>
      </c>
      <c r="J121" s="522">
        <v>57.1</v>
      </c>
      <c r="K121" s="532">
        <v>57.1</v>
      </c>
      <c r="L121" s="530">
        <v>49.7</v>
      </c>
      <c r="M121" s="531"/>
      <c r="N121" s="531"/>
      <c r="O121" s="531"/>
      <c r="P121" s="531"/>
      <c r="Q121" s="531"/>
      <c r="R121" s="531"/>
      <c r="S121" s="524"/>
      <c r="T121" s="63"/>
    </row>
    <row r="122" spans="1:20" ht="30.75" customHeight="1">
      <c r="A122" s="3"/>
      <c r="B122" s="686" t="s">
        <v>475</v>
      </c>
      <c r="C122" s="670"/>
      <c r="D122" s="671"/>
      <c r="E122" s="684" t="s">
        <v>428</v>
      </c>
      <c r="F122" s="682" t="s">
        <v>369</v>
      </c>
      <c r="G122" s="406" t="s">
        <v>366</v>
      </c>
      <c r="H122" s="526">
        <v>107.2</v>
      </c>
      <c r="I122" s="527">
        <v>107.2</v>
      </c>
      <c r="J122" s="528">
        <v>105.6</v>
      </c>
      <c r="K122" s="533">
        <v>105.6</v>
      </c>
      <c r="L122" s="533">
        <v>103.5</v>
      </c>
      <c r="M122" s="534"/>
      <c r="N122" s="534"/>
      <c r="O122" s="534"/>
      <c r="P122" s="534"/>
      <c r="Q122" s="534"/>
      <c r="R122" s="534"/>
      <c r="S122" s="529"/>
      <c r="T122" s="63"/>
    </row>
    <row r="123" spans="1:20" ht="30.75" customHeight="1">
      <c r="A123" s="3"/>
      <c r="B123" s="672"/>
      <c r="C123" s="673"/>
      <c r="D123" s="674"/>
      <c r="E123" s="685"/>
      <c r="F123" s="683"/>
      <c r="G123" s="406" t="s">
        <v>367</v>
      </c>
      <c r="H123" s="526">
        <v>103.2</v>
      </c>
      <c r="I123" s="526">
        <v>89.5</v>
      </c>
      <c r="J123" s="528">
        <v>88.7</v>
      </c>
      <c r="K123" s="533">
        <v>88.63</v>
      </c>
      <c r="L123" s="533">
        <v>83.3</v>
      </c>
      <c r="M123" s="534"/>
      <c r="N123" s="534"/>
      <c r="O123" s="534"/>
      <c r="P123" s="534"/>
      <c r="Q123" s="534"/>
      <c r="R123" s="534"/>
      <c r="S123" s="529"/>
      <c r="T123" s="63"/>
    </row>
    <row r="124" spans="1:20" ht="24" customHeight="1">
      <c r="A124" s="3"/>
      <c r="B124" s="669" t="s">
        <v>440</v>
      </c>
      <c r="C124" s="670"/>
      <c r="D124" s="671"/>
      <c r="E124" s="661" t="s">
        <v>441</v>
      </c>
      <c r="F124" s="652" t="s">
        <v>369</v>
      </c>
      <c r="G124" s="329" t="s">
        <v>52</v>
      </c>
      <c r="H124" s="535">
        <v>456</v>
      </c>
      <c r="I124" s="535">
        <v>456</v>
      </c>
      <c r="J124" s="535">
        <v>912</v>
      </c>
      <c r="K124" s="536">
        <v>651</v>
      </c>
      <c r="L124" s="536">
        <v>868</v>
      </c>
      <c r="M124" s="536"/>
      <c r="N124" s="536"/>
      <c r="O124" s="536"/>
      <c r="P124" s="536"/>
      <c r="Q124" s="536"/>
      <c r="R124" s="536"/>
      <c r="S124" s="537"/>
      <c r="T124" s="63"/>
    </row>
    <row r="125" spans="1:20" ht="24.75" customHeight="1">
      <c r="A125" s="3"/>
      <c r="B125" s="672"/>
      <c r="C125" s="673"/>
      <c r="D125" s="674"/>
      <c r="E125" s="661"/>
      <c r="F125" s="652"/>
      <c r="G125" s="329" t="s">
        <v>53</v>
      </c>
      <c r="H125" s="535">
        <v>429</v>
      </c>
      <c r="I125" s="535">
        <v>320</v>
      </c>
      <c r="J125" s="535">
        <v>754</v>
      </c>
      <c r="K125" s="536">
        <v>442</v>
      </c>
      <c r="L125" s="536">
        <v>1031</v>
      </c>
      <c r="M125" s="536"/>
      <c r="N125" s="536"/>
      <c r="O125" s="536"/>
      <c r="P125" s="536"/>
      <c r="Q125" s="536"/>
      <c r="R125" s="536"/>
      <c r="S125" s="537"/>
      <c r="T125" s="63"/>
    </row>
    <row r="126" spans="1:20" ht="24" customHeight="1">
      <c r="A126" s="3"/>
      <c r="B126" s="686" t="s">
        <v>442</v>
      </c>
      <c r="C126" s="670"/>
      <c r="D126" s="671"/>
      <c r="E126" s="667" t="s">
        <v>443</v>
      </c>
      <c r="F126" s="664" t="s">
        <v>369</v>
      </c>
      <c r="G126" s="328" t="s">
        <v>52</v>
      </c>
      <c r="H126" s="538">
        <v>410</v>
      </c>
      <c r="I126" s="538">
        <v>390</v>
      </c>
      <c r="J126" s="539">
        <v>780</v>
      </c>
      <c r="K126" s="540">
        <v>365</v>
      </c>
      <c r="L126" s="533">
        <v>730</v>
      </c>
      <c r="M126" s="534"/>
      <c r="N126" s="534"/>
      <c r="O126" s="534"/>
      <c r="P126" s="534"/>
      <c r="Q126" s="534"/>
      <c r="R126" s="534"/>
      <c r="S126" s="529"/>
      <c r="T126" s="63"/>
    </row>
    <row r="127" spans="1:20" ht="24.75" customHeight="1">
      <c r="A127" s="3"/>
      <c r="B127" s="672"/>
      <c r="C127" s="673"/>
      <c r="D127" s="674"/>
      <c r="E127" s="668"/>
      <c r="F127" s="665"/>
      <c r="G127" s="328" t="s">
        <v>53</v>
      </c>
      <c r="H127" s="538">
        <v>481</v>
      </c>
      <c r="I127" s="538">
        <v>528</v>
      </c>
      <c r="J127" s="539">
        <v>1036</v>
      </c>
      <c r="K127" s="540">
        <v>497</v>
      </c>
      <c r="L127" s="533">
        <v>976</v>
      </c>
      <c r="M127" s="534"/>
      <c r="N127" s="534"/>
      <c r="O127" s="534"/>
      <c r="P127" s="534"/>
      <c r="Q127" s="534"/>
      <c r="R127" s="534"/>
      <c r="S127" s="529"/>
      <c r="T127" s="63"/>
    </row>
    <row r="128" spans="1:20" ht="24.75" customHeight="1">
      <c r="A128" s="3"/>
      <c r="B128" s="669" t="s">
        <v>445</v>
      </c>
      <c r="C128" s="670"/>
      <c r="D128" s="671"/>
      <c r="E128" s="661" t="s">
        <v>444</v>
      </c>
      <c r="F128" s="652" t="s">
        <v>369</v>
      </c>
      <c r="G128" s="329" t="s">
        <v>52</v>
      </c>
      <c r="H128" s="541">
        <v>6.6</v>
      </c>
      <c r="I128" s="541">
        <v>6.3</v>
      </c>
      <c r="J128" s="541">
        <v>6.1</v>
      </c>
      <c r="K128" s="542">
        <v>5.4</v>
      </c>
      <c r="L128" s="542">
        <v>5.4</v>
      </c>
      <c r="M128" s="543"/>
      <c r="N128" s="543"/>
      <c r="O128" s="543"/>
      <c r="P128" s="543"/>
      <c r="Q128" s="543"/>
      <c r="R128" s="543"/>
      <c r="S128" s="537"/>
      <c r="T128" s="63"/>
    </row>
    <row r="129" spans="1:21" ht="24" customHeight="1">
      <c r="A129" s="3"/>
      <c r="B129" s="672"/>
      <c r="C129" s="673"/>
      <c r="D129" s="674"/>
      <c r="E129" s="661"/>
      <c r="F129" s="652"/>
      <c r="G129" s="329" t="s">
        <v>53</v>
      </c>
      <c r="H129" s="541">
        <v>8.6999999999999993</v>
      </c>
      <c r="I129" s="541">
        <v>11.4</v>
      </c>
      <c r="J129" s="541">
        <v>10</v>
      </c>
      <c r="K129" s="542">
        <v>9.5</v>
      </c>
      <c r="L129" s="542">
        <v>9.9</v>
      </c>
      <c r="M129" s="543"/>
      <c r="N129" s="543"/>
      <c r="O129" s="543"/>
      <c r="P129" s="543"/>
      <c r="Q129" s="543"/>
      <c r="R129" s="543"/>
      <c r="S129" s="537"/>
      <c r="T129" s="63"/>
    </row>
    <row r="130" spans="1:21" ht="39" hidden="1" customHeight="1">
      <c r="A130" s="3"/>
      <c r="B130" s="686"/>
      <c r="C130" s="709"/>
      <c r="D130" s="710"/>
      <c r="E130" s="659"/>
      <c r="F130" s="657"/>
      <c r="G130" s="348"/>
      <c r="H130" s="410"/>
      <c r="I130" s="444"/>
      <c r="J130" s="409"/>
      <c r="K130" s="410"/>
      <c r="L130" s="410"/>
      <c r="M130" s="410"/>
      <c r="N130" s="410"/>
      <c r="O130" s="410"/>
      <c r="P130" s="410"/>
      <c r="Q130" s="410"/>
      <c r="R130" s="410"/>
      <c r="S130" s="332"/>
      <c r="T130" s="63"/>
    </row>
    <row r="131" spans="1:21" ht="33.75" hidden="1" customHeight="1">
      <c r="A131" s="3"/>
      <c r="B131" s="711"/>
      <c r="C131" s="712"/>
      <c r="D131" s="713"/>
      <c r="E131" s="660"/>
      <c r="F131" s="658"/>
      <c r="G131" s="348"/>
      <c r="H131" s="410"/>
      <c r="I131" s="410"/>
      <c r="J131" s="409"/>
      <c r="K131" s="410"/>
      <c r="L131" s="410"/>
      <c r="M131" s="410"/>
      <c r="N131" s="410"/>
      <c r="O131" s="410"/>
      <c r="P131" s="410"/>
      <c r="Q131" s="410"/>
      <c r="R131" s="410"/>
      <c r="S131" s="332"/>
      <c r="T131" s="63"/>
    </row>
    <row r="132" spans="1:21" ht="24.75" hidden="1" customHeight="1">
      <c r="A132" s="3"/>
      <c r="B132" s="669"/>
      <c r="C132" s="670"/>
      <c r="D132" s="671"/>
      <c r="E132" s="661"/>
      <c r="F132" s="652"/>
      <c r="G132" s="329"/>
      <c r="H132" s="330"/>
      <c r="I132" s="330"/>
      <c r="J132" s="344"/>
      <c r="K132" s="330"/>
      <c r="L132" s="330"/>
      <c r="M132" s="330"/>
      <c r="N132" s="330"/>
      <c r="O132" s="330"/>
      <c r="P132" s="330"/>
      <c r="Q132" s="330"/>
      <c r="R132" s="330"/>
      <c r="S132" s="331"/>
      <c r="T132" s="63"/>
    </row>
    <row r="133" spans="1:21" ht="24" hidden="1" customHeight="1">
      <c r="A133" s="3"/>
      <c r="B133" s="672"/>
      <c r="C133" s="673"/>
      <c r="D133" s="674"/>
      <c r="E133" s="661"/>
      <c r="F133" s="652"/>
      <c r="G133" s="329"/>
      <c r="H133" s="330"/>
      <c r="I133" s="330"/>
      <c r="J133" s="344"/>
      <c r="K133" s="330"/>
      <c r="L133" s="330"/>
      <c r="M133" s="330"/>
      <c r="N133" s="330"/>
      <c r="O133" s="330"/>
      <c r="P133" s="330"/>
      <c r="Q133" s="330"/>
      <c r="R133" s="330"/>
      <c r="S133" s="331"/>
      <c r="T133" s="63"/>
    </row>
    <row r="134" spans="1:21" ht="21" hidden="1" customHeight="1">
      <c r="A134" s="3"/>
      <c r="B134" s="686"/>
      <c r="C134" s="670"/>
      <c r="D134" s="671"/>
      <c r="E134" s="667"/>
      <c r="F134" s="664"/>
      <c r="G134" s="328"/>
      <c r="H134" s="253"/>
      <c r="I134" s="253"/>
      <c r="J134" s="342"/>
      <c r="K134" s="253"/>
      <c r="L134" s="253"/>
      <c r="M134" s="253"/>
      <c r="N134" s="253"/>
      <c r="O134" s="253"/>
      <c r="P134" s="253"/>
      <c r="Q134" s="253"/>
      <c r="R134" s="253"/>
      <c r="S134" s="332"/>
      <c r="T134" s="63"/>
    </row>
    <row r="135" spans="1:21" ht="21.75" hidden="1" customHeight="1">
      <c r="A135" s="3"/>
      <c r="B135" s="672"/>
      <c r="C135" s="673"/>
      <c r="D135" s="674"/>
      <c r="E135" s="668"/>
      <c r="F135" s="665"/>
      <c r="G135" s="328"/>
      <c r="H135" s="253"/>
      <c r="I135" s="253"/>
      <c r="J135" s="343"/>
      <c r="K135" s="253"/>
      <c r="L135" s="253"/>
      <c r="M135" s="253"/>
      <c r="N135" s="253"/>
      <c r="O135" s="253"/>
      <c r="P135" s="253"/>
      <c r="Q135" s="253"/>
      <c r="R135" s="253"/>
      <c r="S135" s="332"/>
      <c r="T135" s="63"/>
    </row>
    <row r="136" spans="1:21" ht="26.25" hidden="1" customHeight="1">
      <c r="A136" s="3"/>
      <c r="B136" s="669"/>
      <c r="C136" s="670"/>
      <c r="D136" s="671"/>
      <c r="E136" s="661"/>
      <c r="F136" s="652"/>
      <c r="G136" s="329"/>
      <c r="H136" s="478"/>
      <c r="I136" s="478"/>
      <c r="J136" s="484"/>
      <c r="K136" s="330"/>
      <c r="L136" s="330"/>
      <c r="M136" s="330"/>
      <c r="N136" s="330"/>
      <c r="O136" s="330"/>
      <c r="P136" s="330"/>
      <c r="Q136" s="330"/>
      <c r="R136" s="330"/>
      <c r="S136" s="331"/>
      <c r="T136" s="63"/>
    </row>
    <row r="137" spans="1:21" ht="24" hidden="1" customHeight="1">
      <c r="A137" s="3"/>
      <c r="B137" s="672"/>
      <c r="C137" s="673"/>
      <c r="D137" s="674"/>
      <c r="E137" s="661"/>
      <c r="F137" s="652"/>
      <c r="G137" s="329"/>
      <c r="H137" s="478"/>
      <c r="I137" s="478"/>
      <c r="J137" s="484"/>
      <c r="K137" s="330"/>
      <c r="L137" s="330"/>
      <c r="M137" s="330"/>
      <c r="N137" s="330"/>
      <c r="O137" s="330"/>
      <c r="P137" s="330"/>
      <c r="Q137" s="330"/>
      <c r="R137" s="330"/>
      <c r="S137" s="331"/>
      <c r="T137" s="63"/>
    </row>
    <row r="138" spans="1:21">
      <c r="A138" s="3"/>
      <c r="B138" s="3"/>
      <c r="C138" s="3"/>
      <c r="D138" s="3"/>
      <c r="E138" s="3"/>
      <c r="F138" s="3"/>
      <c r="G138" s="2"/>
      <c r="H138" s="3"/>
      <c r="I138" s="3"/>
      <c r="J138" s="3"/>
      <c r="K138" s="3"/>
      <c r="L138" s="3"/>
      <c r="M138" s="3"/>
      <c r="N138" s="3"/>
      <c r="O138" s="3"/>
      <c r="R138" s="35"/>
      <c r="S138" s="35"/>
    </row>
    <row r="139" spans="1:21" ht="16.5" thickBot="1">
      <c r="A139" s="3"/>
      <c r="B139" s="255"/>
      <c r="C139" s="3"/>
      <c r="D139" s="3"/>
      <c r="E139" s="3"/>
      <c r="F139" s="3"/>
      <c r="G139" s="2"/>
      <c r="H139" s="3"/>
      <c r="I139" s="3"/>
      <c r="J139" s="3"/>
      <c r="K139" s="3"/>
      <c r="L139" s="3"/>
      <c r="M139" s="3"/>
      <c r="N139" s="3"/>
      <c r="O139" s="3"/>
      <c r="R139" s="35"/>
      <c r="S139" s="35"/>
    </row>
    <row r="140" spans="1:21" ht="41.25" customHeight="1">
      <c r="A140" s="3"/>
      <c r="B140" s="3" t="s">
        <v>420</v>
      </c>
      <c r="C140" s="3"/>
      <c r="D140" s="3"/>
      <c r="E140" s="254" t="s">
        <v>371</v>
      </c>
      <c r="F140" s="353" t="s">
        <v>372</v>
      </c>
      <c r="G140" s="202"/>
      <c r="H140" s="296" t="str">
        <f t="shared" ref="H140:S140" si="6">C30</f>
        <v>P1</v>
      </c>
      <c r="I140" s="296" t="str">
        <f t="shared" si="6"/>
        <v>P2</v>
      </c>
      <c r="J140" s="296" t="str">
        <f t="shared" si="6"/>
        <v>P3</v>
      </c>
      <c r="K140" s="296" t="str">
        <f t="shared" si="6"/>
        <v>P4</v>
      </c>
      <c r="L140" s="296" t="str">
        <f t="shared" si="6"/>
        <v>P5</v>
      </c>
      <c r="M140" s="296" t="str">
        <f t="shared" si="6"/>
        <v>P6</v>
      </c>
      <c r="N140" s="296" t="str">
        <f t="shared" si="6"/>
        <v>P7</v>
      </c>
      <c r="O140" s="296" t="str">
        <f t="shared" si="6"/>
        <v>P8</v>
      </c>
      <c r="P140" s="296" t="str">
        <f t="shared" si="6"/>
        <v>P9</v>
      </c>
      <c r="Q140" s="296" t="str">
        <f t="shared" si="6"/>
        <v>P10</v>
      </c>
      <c r="R140" s="296" t="str">
        <f t="shared" si="6"/>
        <v>P11</v>
      </c>
      <c r="S140" s="297" t="str">
        <f t="shared" si="6"/>
        <v>P12</v>
      </c>
      <c r="T140" s="35"/>
      <c r="U140" s="35"/>
    </row>
    <row r="141" spans="1:21" ht="25.5" customHeight="1">
      <c r="A141" s="3"/>
      <c r="B141" s="696" t="str">
        <f>IF(ISBLANK(B116),"",(B116))</f>
        <v>Rata mortalităţii  - Numărul de decese cauzate de TB (toate formele) pe an, la 100 000 persoane</v>
      </c>
      <c r="C141" s="714"/>
      <c r="D141" s="715"/>
      <c r="E141" s="666" t="str">
        <f>IF(ISBLANK(E116),"",(E116))</f>
        <v>Impact 1</v>
      </c>
      <c r="F141" s="663" t="str">
        <f>IF(ISBLANK(F116),"",(F116))</f>
        <v>Nu</v>
      </c>
      <c r="G141" s="347" t="s">
        <v>366</v>
      </c>
      <c r="H141" s="513">
        <f t="shared" ref="H141:L146" si="7">H116</f>
        <v>10</v>
      </c>
      <c r="I141" s="513">
        <f t="shared" si="7"/>
        <v>10</v>
      </c>
      <c r="J141" s="513">
        <f t="shared" si="7"/>
        <v>9.3000000000000007</v>
      </c>
      <c r="K141" s="513">
        <f t="shared" si="7"/>
        <v>9.3000000000000007</v>
      </c>
      <c r="L141" s="513">
        <f t="shared" si="7"/>
        <v>8.6999999999999993</v>
      </c>
      <c r="M141" s="513">
        <f t="shared" ref="M141:S146" si="8">M116</f>
        <v>0</v>
      </c>
      <c r="N141" s="513">
        <f t="shared" si="8"/>
        <v>0</v>
      </c>
      <c r="O141" s="513">
        <f t="shared" si="8"/>
        <v>0</v>
      </c>
      <c r="P141" s="513">
        <f t="shared" si="8"/>
        <v>0</v>
      </c>
      <c r="Q141" s="513">
        <f t="shared" si="8"/>
        <v>0</v>
      </c>
      <c r="R141" s="513">
        <f t="shared" si="8"/>
        <v>0</v>
      </c>
      <c r="S141" s="514">
        <f t="shared" si="8"/>
        <v>0</v>
      </c>
      <c r="T141" s="35"/>
      <c r="U141" s="35"/>
    </row>
    <row r="142" spans="1:21" ht="25.5" customHeight="1">
      <c r="A142" s="3"/>
      <c r="B142" s="716"/>
      <c r="C142" s="717"/>
      <c r="D142" s="718"/>
      <c r="E142" s="666"/>
      <c r="F142" s="663"/>
      <c r="G142" s="347" t="s">
        <v>367</v>
      </c>
      <c r="H142" s="515">
        <f t="shared" si="7"/>
        <v>9.9600000000000009</v>
      </c>
      <c r="I142" s="515">
        <f t="shared" si="7"/>
        <v>10.130000000000001</v>
      </c>
      <c r="J142" s="515">
        <f t="shared" si="7"/>
        <v>9.3000000000000007</v>
      </c>
      <c r="K142" s="515">
        <f t="shared" si="7"/>
        <v>9.1999999999999993</v>
      </c>
      <c r="L142" s="515">
        <f t="shared" si="7"/>
        <v>7.9</v>
      </c>
      <c r="M142" s="513">
        <f t="shared" si="8"/>
        <v>0</v>
      </c>
      <c r="N142" s="513">
        <f t="shared" si="8"/>
        <v>0</v>
      </c>
      <c r="O142" s="513">
        <f t="shared" si="8"/>
        <v>0</v>
      </c>
      <c r="P142" s="513">
        <f t="shared" si="8"/>
        <v>0</v>
      </c>
      <c r="Q142" s="513">
        <f t="shared" si="8"/>
        <v>0</v>
      </c>
      <c r="R142" s="513">
        <f t="shared" si="8"/>
        <v>0</v>
      </c>
      <c r="S142" s="514">
        <f t="shared" si="8"/>
        <v>0</v>
      </c>
      <c r="T142" s="35"/>
      <c r="U142" s="35"/>
    </row>
    <row r="143" spans="1:21" ht="26.25" customHeight="1">
      <c r="A143" s="3"/>
      <c r="B143" s="703" t="str">
        <f>IF(ISBLANK(B118),"",(B118))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143" s="704"/>
      <c r="D143" s="705"/>
      <c r="E143" s="702" t="str">
        <f>IF(ISBLANK(E118),"",(E118))</f>
        <v>Impact 2</v>
      </c>
      <c r="F143" s="662" t="str">
        <f>IF(ISBLANK(F118),"",(F118))</f>
        <v>Nu</v>
      </c>
      <c r="G143" s="348" t="s">
        <v>366</v>
      </c>
      <c r="H143" s="516">
        <f t="shared" si="7"/>
        <v>22</v>
      </c>
      <c r="I143" s="516">
        <f t="shared" si="7"/>
        <v>22</v>
      </c>
      <c r="J143" s="516">
        <f t="shared" si="7"/>
        <v>21.5</v>
      </c>
      <c r="K143" s="516">
        <f t="shared" si="7"/>
        <v>21.5</v>
      </c>
      <c r="L143" s="516">
        <f t="shared" si="7"/>
        <v>20.5</v>
      </c>
      <c r="M143" s="516">
        <f t="shared" si="8"/>
        <v>0</v>
      </c>
      <c r="N143" s="516">
        <f t="shared" si="8"/>
        <v>0</v>
      </c>
      <c r="O143" s="516">
        <f t="shared" si="8"/>
        <v>0</v>
      </c>
      <c r="P143" s="516">
        <f t="shared" si="8"/>
        <v>0</v>
      </c>
      <c r="Q143" s="516">
        <f t="shared" si="8"/>
        <v>0</v>
      </c>
      <c r="R143" s="516">
        <f t="shared" si="8"/>
        <v>0</v>
      </c>
      <c r="S143" s="517">
        <f t="shared" si="8"/>
        <v>0</v>
      </c>
      <c r="T143" s="35"/>
      <c r="U143" s="35"/>
    </row>
    <row r="144" spans="1:21" ht="28.5" customHeight="1">
      <c r="A144" s="3"/>
      <c r="B144" s="706"/>
      <c r="C144" s="707"/>
      <c r="D144" s="708"/>
      <c r="E144" s="702"/>
      <c r="F144" s="662"/>
      <c r="G144" s="348" t="s">
        <v>367</v>
      </c>
      <c r="H144" s="516">
        <f t="shared" si="7"/>
        <v>27.2</v>
      </c>
      <c r="I144" s="516">
        <f t="shared" si="7"/>
        <v>25.3</v>
      </c>
      <c r="J144" s="516">
        <f t="shared" si="7"/>
        <v>24.9</v>
      </c>
      <c r="K144" s="516">
        <f t="shared" si="7"/>
        <v>26.1</v>
      </c>
      <c r="L144" s="516">
        <f t="shared" si="7"/>
        <v>24.4</v>
      </c>
      <c r="M144" s="516">
        <f t="shared" si="8"/>
        <v>0</v>
      </c>
      <c r="N144" s="516">
        <f t="shared" si="8"/>
        <v>0</v>
      </c>
      <c r="O144" s="516">
        <f t="shared" si="8"/>
        <v>0</v>
      </c>
      <c r="P144" s="516">
        <f t="shared" si="8"/>
        <v>0</v>
      </c>
      <c r="Q144" s="516">
        <f t="shared" si="8"/>
        <v>0</v>
      </c>
      <c r="R144" s="516">
        <f t="shared" si="8"/>
        <v>0</v>
      </c>
      <c r="S144" s="517">
        <f t="shared" si="8"/>
        <v>0</v>
      </c>
      <c r="T144" s="35"/>
      <c r="U144" s="35"/>
    </row>
    <row r="145" spans="1:21" ht="31.5" customHeight="1">
      <c r="A145" s="3"/>
      <c r="B145" s="696" t="str">
        <f>IF(ISBLANK(B120),"",(B120))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145" s="697"/>
      <c r="D145" s="698"/>
      <c r="E145" s="655" t="str">
        <f>IF(ISBLANK(E120),"",(E120))</f>
        <v>Rezultat 1</v>
      </c>
      <c r="F145" s="653" t="str">
        <f>IF(ISBLANK(F120),"",(F120))</f>
        <v>Nu</v>
      </c>
      <c r="G145" s="347" t="s">
        <v>366</v>
      </c>
      <c r="H145" s="513">
        <f t="shared" si="7"/>
        <v>55</v>
      </c>
      <c r="I145" s="513">
        <f t="shared" ref="I145:L145" si="9">I120</f>
        <v>55</v>
      </c>
      <c r="J145" s="513">
        <f t="shared" si="9"/>
        <v>60</v>
      </c>
      <c r="K145" s="513">
        <f t="shared" si="9"/>
        <v>60</v>
      </c>
      <c r="L145" s="513">
        <f t="shared" si="9"/>
        <v>65</v>
      </c>
      <c r="M145" s="513">
        <f t="shared" si="8"/>
        <v>0</v>
      </c>
      <c r="N145" s="513">
        <f t="shared" si="8"/>
        <v>0</v>
      </c>
      <c r="O145" s="513">
        <f t="shared" si="8"/>
        <v>0</v>
      </c>
      <c r="P145" s="513">
        <f t="shared" si="8"/>
        <v>0</v>
      </c>
      <c r="Q145" s="513">
        <f t="shared" si="8"/>
        <v>0</v>
      </c>
      <c r="R145" s="513">
        <f t="shared" si="8"/>
        <v>0</v>
      </c>
      <c r="S145" s="514">
        <f t="shared" si="8"/>
        <v>0</v>
      </c>
      <c r="T145" s="35"/>
      <c r="U145" s="35"/>
    </row>
    <row r="146" spans="1:21" ht="30.75" customHeight="1" thickBot="1">
      <c r="A146" s="3"/>
      <c r="B146" s="699"/>
      <c r="C146" s="700"/>
      <c r="D146" s="701"/>
      <c r="E146" s="656"/>
      <c r="F146" s="654"/>
      <c r="G146" s="354" t="s">
        <v>367</v>
      </c>
      <c r="H146" s="518">
        <f t="shared" si="7"/>
        <v>59</v>
      </c>
      <c r="I146" s="518">
        <f t="shared" ref="I146:L146" si="10">I121</f>
        <v>59</v>
      </c>
      <c r="J146" s="518">
        <f t="shared" si="10"/>
        <v>57.1</v>
      </c>
      <c r="K146" s="518">
        <f t="shared" si="10"/>
        <v>57.1</v>
      </c>
      <c r="L146" s="518">
        <f t="shared" si="10"/>
        <v>49.7</v>
      </c>
      <c r="M146" s="518">
        <f t="shared" si="8"/>
        <v>0</v>
      </c>
      <c r="N146" s="518">
        <f t="shared" si="8"/>
        <v>0</v>
      </c>
      <c r="O146" s="518">
        <f t="shared" si="8"/>
        <v>0</v>
      </c>
      <c r="P146" s="518">
        <f t="shared" si="8"/>
        <v>0</v>
      </c>
      <c r="Q146" s="518">
        <f t="shared" si="8"/>
        <v>0</v>
      </c>
      <c r="R146" s="518">
        <f t="shared" si="8"/>
        <v>0</v>
      </c>
      <c r="S146" s="519">
        <f t="shared" si="8"/>
        <v>0</v>
      </c>
      <c r="T146" s="35"/>
      <c r="U146" s="35"/>
    </row>
    <row r="147" spans="1:21">
      <c r="A147" s="3"/>
      <c r="B147" s="3"/>
      <c r="C147" s="3"/>
      <c r="D147" s="3"/>
      <c r="E147" s="3"/>
      <c r="F147" s="3"/>
      <c r="G147" s="3"/>
      <c r="H147" s="3"/>
      <c r="I147" s="3"/>
      <c r="J147" s="3"/>
      <c r="K147" s="3"/>
      <c r="L147" s="3"/>
      <c r="M147" s="3"/>
      <c r="N147"/>
      <c r="O147"/>
      <c r="P147" s="35"/>
      <c r="Q147" s="35"/>
      <c r="S147" s="333"/>
    </row>
    <row r="148" spans="1:21">
      <c r="N148"/>
      <c r="O148"/>
      <c r="P148" s="35"/>
      <c r="Q148" s="35"/>
    </row>
    <row r="149" spans="1:21">
      <c r="N149"/>
      <c r="O149"/>
      <c r="P149" s="35"/>
      <c r="Q149" s="35"/>
    </row>
    <row r="150" spans="1:21">
      <c r="N150"/>
      <c r="O150"/>
      <c r="P150" s="35"/>
      <c r="Q150" s="35"/>
    </row>
  </sheetData>
  <dataConsolidate link="1"/>
  <mergeCells count="75">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120:D121"/>
    <mergeCell ref="B122:D123"/>
    <mergeCell ref="A116:A121"/>
    <mergeCell ref="B71:C71"/>
    <mergeCell ref="B115:D115"/>
    <mergeCell ref="B107:B110"/>
    <mergeCell ref="B26:C26"/>
    <mergeCell ref="D24:E24"/>
    <mergeCell ref="B29:N29"/>
    <mergeCell ref="B59:D59"/>
    <mergeCell ref="G24:H24"/>
    <mergeCell ref="I24:J24"/>
    <mergeCell ref="B18:C18"/>
    <mergeCell ref="D18:F18"/>
    <mergeCell ref="B21:J21"/>
    <mergeCell ref="E10:F10"/>
    <mergeCell ref="B145:D146"/>
    <mergeCell ref="E143:E144"/>
    <mergeCell ref="B143:D144"/>
    <mergeCell ref="B124:D125"/>
    <mergeCell ref="B126:D127"/>
    <mergeCell ref="B130:D131"/>
    <mergeCell ref="E124:E125"/>
    <mergeCell ref="E126:E127"/>
    <mergeCell ref="B132:D133"/>
    <mergeCell ref="B141:D142"/>
    <mergeCell ref="E132:E133"/>
    <mergeCell ref="B134:D135"/>
    <mergeCell ref="B128:D129"/>
    <mergeCell ref="B136:D137"/>
    <mergeCell ref="O31:O34"/>
    <mergeCell ref="E116:E117"/>
    <mergeCell ref="F116:F117"/>
    <mergeCell ref="F118:F119"/>
    <mergeCell ref="E118:E119"/>
    <mergeCell ref="F126:F127"/>
    <mergeCell ref="B116:D117"/>
    <mergeCell ref="F120:F121"/>
    <mergeCell ref="B118:D119"/>
    <mergeCell ref="B72:C72"/>
    <mergeCell ref="E122:E123"/>
    <mergeCell ref="F122:F123"/>
    <mergeCell ref="E120:E121"/>
    <mergeCell ref="B70:C70"/>
    <mergeCell ref="F124:F125"/>
    <mergeCell ref="F145:F146"/>
    <mergeCell ref="E145:E146"/>
    <mergeCell ref="F130:F131"/>
    <mergeCell ref="E130:E131"/>
    <mergeCell ref="F128:F129"/>
    <mergeCell ref="E128:E129"/>
    <mergeCell ref="F143:F144"/>
    <mergeCell ref="F141:F142"/>
    <mergeCell ref="F132:F133"/>
    <mergeCell ref="E136:E137"/>
    <mergeCell ref="F136:F137"/>
    <mergeCell ref="F134:F135"/>
    <mergeCell ref="E141:E142"/>
    <mergeCell ref="E134:E135"/>
  </mergeCells>
  <phoneticPr fontId="23" type="noConversion"/>
  <conditionalFormatting sqref="B34 B32 E32:H32 G33:N33">
    <cfRule type="expression" dxfId="41" priority="5" stopIfTrue="1">
      <formula>+AND(B31&gt;=#REF!,B31&lt;=#REF!)</formula>
    </cfRule>
  </conditionalFormatting>
  <conditionalFormatting sqref="E34:N34">
    <cfRule type="expression" dxfId="40" priority="6" stopIfTrue="1">
      <formula>+AND(E32&gt;=#REF!,E32&lt;=#REF!)</formula>
    </cfRule>
  </conditionalFormatting>
  <conditionalFormatting sqref="C30:N30 C93:N93">
    <cfRule type="cellIs" dxfId="39" priority="9" stopIfTrue="1" operator="equal">
      <formula>$C$16</formula>
    </cfRule>
  </conditionalFormatting>
  <conditionalFormatting sqref="C12:D12">
    <cfRule type="cellIs" dxfId="38" priority="11" stopIfTrue="1" operator="equal">
      <formula>"C"</formula>
    </cfRule>
    <cfRule type="cellIs" dxfId="37" priority="12" stopIfTrue="1" operator="equal">
      <formula>"B2"</formula>
    </cfRule>
    <cfRule type="cellIs" dxfId="36" priority="13" stopIfTrue="1" operator="equal">
      <formula>"B1"</formula>
    </cfRule>
  </conditionalFormatting>
  <conditionalFormatting sqref="H140:S140 H115:S115">
    <cfRule type="cellIs" dxfId="35" priority="20" stopIfTrue="1" operator="equal">
      <formula>$C$16</formula>
    </cfRule>
  </conditionalFormatting>
  <conditionalFormatting sqref="C34">
    <cfRule type="expression" dxfId="34" priority="3" stopIfTrue="1">
      <formula>+AND(C32&gt;=#REF!,C32&lt;=#REF!)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7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7:C110"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47" max="16383" man="1"/>
    <brk id="103" max="14" man="1"/>
  </rowBreaks>
  <ignoredErrors>
    <ignoredError sqref="H140:S140 E1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E29" sqref="E29"/>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5"/>
      <c r="H1" s="2"/>
      <c r="I1" s="2"/>
      <c r="J1" s="2"/>
    </row>
    <row r="2" spans="1:24" ht="25.5" customHeight="1"/>
    <row r="3" spans="1:24" ht="36">
      <c r="B3" s="759" t="str">
        <f>+"Tabel Programatic de Evaluare: "&amp;" "&amp;+IF('Introducerea datelor'!C4="Please Select","",'Introducerea datelor'!C4&amp;" - ")&amp;+IF('Introducerea datelor'!G6="Please Select","",'Introducerea datelor'!G6)</f>
        <v>Tabel Programatic de Evaluare:  Moldova - TB</v>
      </c>
      <c r="C3" s="759"/>
      <c r="D3" s="759"/>
      <c r="E3" s="759"/>
      <c r="F3" s="759"/>
      <c r="G3" s="759"/>
      <c r="H3" s="759"/>
      <c r="I3" s="759"/>
      <c r="J3" s="75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1" t="s">
        <v>283</v>
      </c>
      <c r="B6" s="760" t="str">
        <f>+IF('Introducerea datelor'!C4="Please Select","",'Introducerea datelor'!C4)</f>
        <v>Moldova</v>
      </c>
      <c r="C6" s="760"/>
      <c r="D6" s="763" t="s">
        <v>287</v>
      </c>
      <c r="E6" s="763"/>
      <c r="F6" s="764" t="str">
        <f>+'Introducerea datelor'!G4</f>
        <v>Consolidarea controlului Tuberculozei în Republica Moldova</v>
      </c>
      <c r="G6" s="764"/>
      <c r="H6" s="764"/>
      <c r="I6" s="764"/>
      <c r="J6" s="764"/>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290" t="s">
        <v>288</v>
      </c>
      <c r="B9" s="270" t="str">
        <f>+IF('Introducerea datelor'!G6="Please Select","",'Introducerea datelor'!G6)</f>
        <v>TB</v>
      </c>
      <c r="C9" s="184" t="s">
        <v>248</v>
      </c>
      <c r="D9" s="271" t="str">
        <f>+'Introducerea datelor'!C6</f>
        <v>MDA-T-PCIMU (#678)</v>
      </c>
      <c r="E9" s="762" t="s">
        <v>374</v>
      </c>
      <c r="F9" s="762"/>
      <c r="G9" s="370">
        <f>+IF(ISBLANK('Introducerea datelor'!C10),"",'Introducerea datelor'!C10)</f>
        <v>42186</v>
      </c>
      <c r="H9" s="290" t="s">
        <v>289</v>
      </c>
      <c r="I9" s="761">
        <f>+IF(ISBLANK('Introducerea datelor'!I6),"",'Introducerea datelor'!I6)</f>
        <v>7957826</v>
      </c>
      <c r="J9" s="761"/>
      <c r="K9" s="49"/>
      <c r="L9" s="49"/>
      <c r="M9" s="49"/>
      <c r="N9" s="49"/>
      <c r="O9" s="51"/>
      <c r="P9" s="50"/>
      <c r="Q9" s="51"/>
      <c r="R9" s="52"/>
      <c r="S9" s="17"/>
      <c r="T9" s="11"/>
      <c r="U9" s="11"/>
      <c r="V9" s="10"/>
      <c r="W9" s="10"/>
      <c r="X9" s="10"/>
    </row>
    <row r="10" spans="1:24" ht="25.5" customHeight="1">
      <c r="A10" s="290" t="s">
        <v>290</v>
      </c>
      <c r="B10" s="272" t="str">
        <f>+IF('Introducerea datelor'!G8="Please Select","",'Introducerea datelor'!G8)</f>
        <v/>
      </c>
      <c r="C10" s="184" t="s">
        <v>291</v>
      </c>
      <c r="D10" s="273" t="str">
        <f>+IF('Introducerea datelor'!I8="Please Select","",'Introducerea datelor'!I8)</f>
        <v>Period 1</v>
      </c>
      <c r="E10" s="754" t="s">
        <v>375</v>
      </c>
      <c r="F10" s="754"/>
      <c r="G10" s="753" t="str">
        <f>+'Introducerea datelor'!C8</f>
        <v>IP UCIMP DS</v>
      </c>
      <c r="H10" s="753"/>
      <c r="I10" s="753"/>
      <c r="J10" s="753"/>
      <c r="K10" s="53"/>
      <c r="L10" s="53"/>
      <c r="M10" s="49"/>
      <c r="N10" s="53"/>
      <c r="O10" s="51"/>
      <c r="P10" s="50"/>
      <c r="Q10" s="11"/>
      <c r="R10" s="52"/>
      <c r="S10" s="17"/>
      <c r="T10" s="11"/>
      <c r="U10" s="11"/>
    </row>
    <row r="11" spans="1:24" ht="25.5" customHeight="1">
      <c r="A11" s="290" t="s">
        <v>294</v>
      </c>
      <c r="B11" s="274" t="str">
        <f>+'Introducerea datelor'!C16</f>
        <v>P5</v>
      </c>
      <c r="C11" s="258" t="s">
        <v>295</v>
      </c>
      <c r="D11" s="371">
        <f>+IF(ISBLANK('Introducerea datelor'!E16),"",'Introducerea datelor'!E16)</f>
        <v>42917</v>
      </c>
      <c r="E11" s="762" t="s">
        <v>296</v>
      </c>
      <c r="F11" s="762"/>
      <c r="G11" s="371">
        <f>+IF(ISBLANK('Introducerea datelor'!G16),"",'Introducerea datelor'!G16)</f>
        <v>43100</v>
      </c>
      <c r="H11" s="290" t="s">
        <v>286</v>
      </c>
      <c r="I11" s="755" t="str">
        <f>+IF('Introducerea datelor'!C12="Please Select","",'Introducerea datelor'!C12)</f>
        <v>A2</v>
      </c>
      <c r="J11" s="755"/>
      <c r="K11" s="214"/>
      <c r="L11" s="53"/>
      <c r="M11" s="49"/>
      <c r="N11" s="53"/>
      <c r="O11" s="53"/>
      <c r="P11" s="50"/>
      <c r="Q11" s="11"/>
      <c r="R11" s="52"/>
      <c r="S11" s="17"/>
      <c r="T11" s="12"/>
      <c r="U11" s="11"/>
    </row>
    <row r="12" spans="1:24" ht="25.5" customHeight="1">
      <c r="A12" s="290" t="s">
        <v>292</v>
      </c>
      <c r="B12" s="753" t="str">
        <f>+IF('Introducerea datelor'!G10="Please Select","",'Introducerea datelor'!G10)</f>
        <v>PwC (PricewaterhouseCoopers)</v>
      </c>
      <c r="C12" s="753"/>
      <c r="D12" s="753"/>
      <c r="E12" s="754" t="s">
        <v>233</v>
      </c>
      <c r="F12" s="754"/>
      <c r="G12" s="753" t="str">
        <f>+'Introducerea datelor'!G12</f>
        <v>Tsovinar Sakanyan</v>
      </c>
      <c r="H12" s="753"/>
      <c r="I12" s="753"/>
      <c r="J12" s="753"/>
      <c r="K12" s="53"/>
      <c r="L12" s="53"/>
      <c r="M12" s="49"/>
      <c r="N12" s="53"/>
      <c r="O12" s="17"/>
      <c r="P12" s="50"/>
      <c r="Q12" s="11"/>
      <c r="R12" s="52"/>
      <c r="S12" s="17"/>
      <c r="T12" s="11"/>
      <c r="U12" s="54"/>
      <c r="V12" s="11"/>
      <c r="W12" s="12"/>
      <c r="X12" s="11"/>
    </row>
    <row r="13" spans="1:24" ht="30.75" customHeight="1">
      <c r="A13" s="290" t="s">
        <v>376</v>
      </c>
      <c r="B13" s="753" t="str">
        <f>+'Introducerea datelor'!D18</f>
        <v>IP UCIMP DS</v>
      </c>
      <c r="C13" s="753"/>
      <c r="D13" s="753"/>
      <c r="E13" s="756" t="s">
        <v>377</v>
      </c>
      <c r="F13" s="756"/>
      <c r="G13" s="757">
        <f>+IF(ISBLANK('Introducerea datelor'!J16),"",'Introducerea datelor'!J16)</f>
        <v>43238</v>
      </c>
      <c r="H13" s="758"/>
      <c r="I13" s="758"/>
      <c r="J13" s="758"/>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2"/>
      <c r="D16" s="16"/>
      <c r="E16" s="29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link="1"/>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zoomScale="130" zoomScaleNormal="130" zoomScaleSheetLayoutView="100" workbookViewId="0">
      <selection activeCell="O16" sqref="O1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0"/>
      <c r="E1" s="191"/>
    </row>
    <row r="2" spans="1:16" ht="27.75" customHeight="1">
      <c r="B2" s="765" t="str">
        <f>+"Tabel Programatic de Evaluare:  "&amp;"  "&amp;IF(+'Introducerea datelor'!C4="Please Select","",'Introducerea datelor'!C4&amp;" - ")&amp;IF('Introducerea datelor'!G6="Please Select","",'Introducerea datelor'!G6)</f>
        <v>Tabel Programatic de Evaluare:    Moldova - TB</v>
      </c>
      <c r="C2" s="765"/>
      <c r="D2" s="765"/>
      <c r="E2" s="765"/>
      <c r="F2" s="765"/>
      <c r="G2" s="765"/>
      <c r="H2" s="765"/>
      <c r="I2" s="765"/>
      <c r="J2" s="765"/>
      <c r="K2" s="765"/>
      <c r="L2" s="765"/>
      <c r="M2" s="25"/>
      <c r="N2" s="25"/>
      <c r="O2" s="25"/>
      <c r="P2" s="25"/>
    </row>
    <row r="3" spans="1:16">
      <c r="B3" s="23" t="str">
        <f>+IF('Introducerea datelor'!G8="Please Select","",'Introducerea datelor'!G8)</f>
        <v/>
      </c>
      <c r="C3" s="770" t="str">
        <f>+IF('Introducerea datelor'!I8="Please Select","",'Introducerea datelor'!I8)</f>
        <v>Period 1</v>
      </c>
      <c r="D3" s="770"/>
      <c r="E3" s="768"/>
      <c r="F3" s="768"/>
      <c r="G3" s="768"/>
      <c r="H3" s="768"/>
      <c r="I3" s="768"/>
      <c r="J3" s="769" t="str">
        <f>+'Introducerea datelor'!B16</f>
        <v>Perioada de Raportare:</v>
      </c>
      <c r="K3" s="769"/>
      <c r="L3" s="159" t="str">
        <f>+'Introducerea datelor'!C16</f>
        <v>P5</v>
      </c>
    </row>
    <row r="4" spans="1:16">
      <c r="B4" s="23" t="str">
        <f>+'Introducerea datelor'!B12</f>
        <v>Ultimul Rating:</v>
      </c>
      <c r="C4" s="766" t="str">
        <f>+IF('Introducerea datelor'!C12="Please Select","",'Introducerea datelor'!C12)</f>
        <v>A2</v>
      </c>
      <c r="D4" s="766"/>
      <c r="E4" s="768" t="str">
        <f>+'Introducerea datelor'!C8</f>
        <v>IP UCIMP DS</v>
      </c>
      <c r="F4" s="768"/>
      <c r="G4" s="768"/>
      <c r="H4" s="768"/>
      <c r="I4" s="768"/>
      <c r="J4" s="769" t="str">
        <f>+'Introducerea datelor'!D16</f>
        <v>De la:</v>
      </c>
      <c r="K4" s="771"/>
      <c r="L4" s="399">
        <f>+IF(ISBLANK('Introducerea datelor'!E16),"",'Introducerea datelor'!E16)</f>
        <v>42917</v>
      </c>
    </row>
    <row r="5" spans="1:16" ht="18.75" customHeight="1">
      <c r="B5" s="23"/>
      <c r="C5" s="23"/>
      <c r="D5" s="768" t="str">
        <f>+'Introducerea datelor'!G4</f>
        <v>Consolidarea controlului Tuberculozei în Republica Moldova</v>
      </c>
      <c r="E5" s="768"/>
      <c r="F5" s="768"/>
      <c r="G5" s="768"/>
      <c r="H5" s="768"/>
      <c r="I5" s="768"/>
      <c r="J5" s="768"/>
      <c r="K5" s="23" t="str">
        <f>+'Introducerea datelor'!F16</f>
        <v>Pînă la:</v>
      </c>
      <c r="L5" s="399">
        <f>+IF(ISBLANK('Introducerea datelor'!G16),"",'Introducerea datelor'!G16)</f>
        <v>43100</v>
      </c>
    </row>
    <row r="6" spans="1:16" ht="18.75">
      <c r="B6" s="22"/>
      <c r="C6" s="23"/>
      <c r="D6" s="24"/>
      <c r="E6" s="767" t="s">
        <v>382</v>
      </c>
      <c r="F6" s="767"/>
      <c r="G6" s="767"/>
      <c r="H6" s="767"/>
      <c r="I6" s="767"/>
    </row>
    <row r="7" spans="1:16" ht="26.25" customHeight="1">
      <c r="B7" s="772" t="str">
        <f>+'Introducerea datelor'!B68&amp;"                "&amp;+J3&amp;" "&amp;+L3</f>
        <v>M1: Statutul Condițiilor Precedente și a Acțiunilor Prestabilite în Timp                 Perioada de Raportare: P5</v>
      </c>
      <c r="C7" s="773"/>
      <c r="D7" s="773"/>
      <c r="E7" s="773"/>
      <c r="F7" s="773"/>
      <c r="H7" s="772" t="str">
        <f>+'Introducerea datelor'!B75&amp;"                                                                             "&amp;+J3&amp;"  "&amp;+L3</f>
        <v>M2: Statutul pozițiilor cheie a RP                                                                              Perioada de Raportare:  P5</v>
      </c>
      <c r="I7" s="773"/>
      <c r="J7" s="773"/>
      <c r="K7" s="773"/>
      <c r="L7" s="773"/>
    </row>
    <row r="8" spans="1:16" ht="33" customHeight="1">
      <c r="B8" s="277" t="s">
        <v>381</v>
      </c>
      <c r="C8" s="774" t="s">
        <v>494</v>
      </c>
      <c r="D8" s="777"/>
      <c r="E8" s="777"/>
      <c r="F8" s="778"/>
      <c r="G8" s="445"/>
      <c r="H8" s="277" t="s">
        <v>381</v>
      </c>
      <c r="I8" s="774" t="s">
        <v>472</v>
      </c>
      <c r="J8" s="775"/>
      <c r="K8" s="775"/>
      <c r="L8" s="776"/>
    </row>
    <row r="9" spans="1:16" ht="22.5" customHeight="1">
      <c r="B9" s="19"/>
      <c r="C9" s="19"/>
      <c r="D9" s="19"/>
      <c r="E9" s="19"/>
      <c r="F9" s="19"/>
      <c r="G9" s="19"/>
      <c r="H9" s="19"/>
    </row>
    <row r="10" spans="1:16" ht="21" customHeight="1">
      <c r="A10" s="46"/>
      <c r="B10" s="19"/>
      <c r="C10" s="19"/>
      <c r="D10" s="779"/>
      <c r="E10" s="567"/>
      <c r="F10" s="567"/>
      <c r="G10" s="167"/>
      <c r="H10" s="19"/>
      <c r="N10" s="48"/>
      <c r="O10" s="48"/>
      <c r="P10" s="47"/>
    </row>
    <row r="11" spans="1:16">
      <c r="B11" s="19"/>
      <c r="C11" s="27"/>
      <c r="D11" s="779"/>
      <c r="E11" s="27"/>
      <c r="F11" s="27"/>
      <c r="G11" s="27"/>
      <c r="H11" s="27"/>
      <c r="N11" s="19"/>
      <c r="O11" s="19"/>
    </row>
    <row r="12" spans="1:16">
      <c r="B12" s="27"/>
      <c r="C12" s="78"/>
      <c r="D12" s="79"/>
      <c r="E12" s="79"/>
      <c r="F12" s="79"/>
      <c r="G12" s="79"/>
      <c r="H12" s="80"/>
      <c r="N12" s="475"/>
    </row>
    <row r="13" spans="1:16">
      <c r="B13" s="27"/>
      <c r="C13" s="78"/>
      <c r="D13" s="79"/>
      <c r="E13" s="79"/>
      <c r="F13" s="79"/>
      <c r="G13" s="79"/>
      <c r="H13" s="80"/>
    </row>
    <row r="14" spans="1:16" ht="27" customHeight="1"/>
    <row r="15" spans="1:16" ht="35.25" customHeight="1">
      <c r="B15" s="772" t="str">
        <f>+'Introducerea datelor'!B80&amp;"                                                                                                 "&amp;+J3&amp;" "&amp;+L3</f>
        <v>M3: Aranjamente contractuale (SR)                                                                                                  Perioada de Raportare: P5</v>
      </c>
      <c r="C15" s="773"/>
      <c r="D15" s="773"/>
      <c r="E15" s="773"/>
      <c r="F15" s="773"/>
      <c r="G15" s="773"/>
      <c r="H15" s="772" t="str">
        <f>+'Introducerea datelor'!B85&amp;"                        "&amp;+J3&amp;" "&amp;+L3</f>
        <v>M4: Numărul rapoartelor complete recepționate la timp                        Perioada de Raportare: P5</v>
      </c>
      <c r="I15" s="773"/>
      <c r="J15" s="773"/>
      <c r="K15" s="773"/>
      <c r="L15" s="773"/>
    </row>
    <row r="16" spans="1:16" ht="79.5" customHeight="1">
      <c r="B16" s="277" t="s">
        <v>381</v>
      </c>
      <c r="C16" s="774" t="s">
        <v>473</v>
      </c>
      <c r="D16" s="775"/>
      <c r="E16" s="775"/>
      <c r="F16" s="776"/>
      <c r="G16" s="445"/>
      <c r="H16" s="277" t="s">
        <v>381</v>
      </c>
      <c r="I16" s="774" t="s">
        <v>495</v>
      </c>
      <c r="J16" s="777"/>
      <c r="K16" s="777"/>
      <c r="L16" s="778"/>
    </row>
    <row r="17" spans="2:13">
      <c r="B17" s="28"/>
      <c r="H17" s="29"/>
    </row>
    <row r="18" spans="2:13">
      <c r="M18" s="82"/>
    </row>
    <row r="26" spans="2:13" ht="40.5" customHeight="1">
      <c r="B26" s="780" t="str">
        <f>+'Introducerea datelor'!B91</f>
        <v xml:space="preserve">M5: Bugetul și Procurarea produselor medicale, echipamentului medical, medicamentelor și produselor farmaceutice </v>
      </c>
      <c r="C26" s="781"/>
      <c r="D26" s="781"/>
      <c r="E26" s="781"/>
      <c r="F26" s="781"/>
      <c r="H26" s="772" t="str">
        <f>+'Introducerea datelor'!B104&amp;"                                                                "&amp;+J3&amp;"  "&amp;+L3</f>
        <v>M6: Diferență între stocul curent și stocul de siguranță                                                                Perioada de Raportare:  P5</v>
      </c>
      <c r="I26" s="773"/>
      <c r="J26" s="773"/>
      <c r="K26" s="773"/>
      <c r="L26" s="773"/>
    </row>
    <row r="27" spans="2:13" ht="51" customHeight="1">
      <c r="B27" s="277" t="s">
        <v>381</v>
      </c>
      <c r="C27" s="774" t="s">
        <v>490</v>
      </c>
      <c r="D27" s="775"/>
      <c r="E27" s="775"/>
      <c r="F27" s="776"/>
      <c r="G27" s="445"/>
      <c r="H27" s="277" t="s">
        <v>1</v>
      </c>
      <c r="I27" s="774" t="s">
        <v>478</v>
      </c>
      <c r="J27" s="777"/>
      <c r="K27" s="777"/>
      <c r="L27" s="778"/>
    </row>
    <row r="28" spans="2:13" ht="15.75" thickBot="1"/>
    <row r="29" spans="2:13" ht="59.25" customHeight="1">
      <c r="F29" s="262"/>
      <c r="G29" s="262"/>
      <c r="H29" s="357" t="s">
        <v>356</v>
      </c>
      <c r="I29" s="356" t="s">
        <v>383</v>
      </c>
      <c r="J29" s="276" t="s">
        <v>385</v>
      </c>
      <c r="K29" s="178" t="s">
        <v>386</v>
      </c>
      <c r="L29" s="259" t="s">
        <v>387</v>
      </c>
    </row>
    <row r="30" spans="2:13" ht="15" customHeight="1">
      <c r="F30" s="262"/>
      <c r="G30" s="262"/>
      <c r="H30" s="783" t="str">
        <f>+'Introducerea datelor'!B107</f>
        <v>Please Select</v>
      </c>
      <c r="I30" s="260" t="str">
        <f>+'Introducerea datelor'!C107</f>
        <v>Please Select</v>
      </c>
      <c r="J30" s="324" t="str">
        <f>+'Introducerea datelor'!I107</f>
        <v/>
      </c>
      <c r="K30" s="325">
        <f>+'Introducerea datelor'!J107</f>
        <v>0</v>
      </c>
      <c r="L30" s="509" t="str">
        <f>+'Introducerea datelor'!K107</f>
        <v/>
      </c>
    </row>
    <row r="31" spans="2:13">
      <c r="F31" s="262"/>
      <c r="G31" s="262"/>
      <c r="H31" s="784"/>
      <c r="I31" s="260" t="str">
        <f>+'Introducerea datelor'!C108</f>
        <v>Please Select</v>
      </c>
      <c r="J31" s="324" t="str">
        <f>+'Introducerea datelor'!I108</f>
        <v/>
      </c>
      <c r="K31" s="325">
        <f>+'Introducerea datelor'!J108</f>
        <v>0</v>
      </c>
      <c r="L31" s="510" t="str">
        <f>+'Introducerea datelor'!K108</f>
        <v/>
      </c>
    </row>
    <row r="32" spans="2:13">
      <c r="F32" s="262"/>
      <c r="G32" s="262"/>
      <c r="H32" s="784"/>
      <c r="I32" s="260" t="str">
        <f>+'Introducerea datelor'!C109</f>
        <v>Please Select</v>
      </c>
      <c r="J32" s="324" t="str">
        <f>+'Introducerea datelor'!I109</f>
        <v/>
      </c>
      <c r="K32" s="325">
        <f>+'Introducerea datelor'!J109</f>
        <v>0</v>
      </c>
      <c r="L32" s="509" t="str">
        <f>+'Introducerea datelor'!K109</f>
        <v/>
      </c>
    </row>
    <row r="33" spans="2:12" ht="15.75" thickBot="1">
      <c r="F33" s="262"/>
      <c r="G33" s="262"/>
      <c r="H33" s="785"/>
      <c r="I33" s="261" t="str">
        <f>+'Introducerea datelor'!C110</f>
        <v>Please Select</v>
      </c>
      <c r="J33" s="326" t="str">
        <f>+'Introducerea datelor'!I110</f>
        <v/>
      </c>
      <c r="K33" s="327">
        <f>+'Introducerea datelor'!J110</f>
        <v>0</v>
      </c>
      <c r="L33" s="509" t="str">
        <f>+'Introducerea datelor'!K110</f>
        <v/>
      </c>
    </row>
    <row r="34" spans="2:12" ht="22.5" customHeight="1">
      <c r="B34" s="782" t="str">
        <f>+'Introducerea datelor'!B101</f>
        <v>* Include numai AFR categoriile 4,5 și 6  (Produse medicale și Echipamente medicale &amp; Medicamente și Produse farmaceutice)</v>
      </c>
      <c r="C34" s="782"/>
      <c r="D34" s="782"/>
      <c r="E34" s="782"/>
      <c r="F34" s="19"/>
      <c r="G34" s="19"/>
      <c r="H34" s="175"/>
      <c r="I34" s="176"/>
      <c r="J34" s="177"/>
      <c r="K34" s="167"/>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tabSelected="1" view="pageBreakPreview" topLeftCell="A22" zoomScale="115" zoomScaleNormal="100" zoomScaleSheetLayoutView="115" workbookViewId="0">
      <selection activeCell="N28" sqref="N28"/>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28.5703125" customWidth="1"/>
  </cols>
  <sheetData>
    <row r="1" spans="2:15" ht="30.75" customHeight="1">
      <c r="B1" s="3"/>
      <c r="C1" s="3"/>
      <c r="D1" s="3"/>
      <c r="E1" s="3"/>
      <c r="F1" s="3"/>
      <c r="G1" s="3"/>
      <c r="H1" s="3"/>
      <c r="I1" s="3"/>
      <c r="J1" s="3"/>
      <c r="K1" s="3"/>
    </row>
    <row r="2" spans="2:15" ht="27.75" customHeight="1">
      <c r="B2" s="786" t="str">
        <f>+"Tabel Programatic de Evaluare:  "&amp;"  "&amp;IF(+'Introducerea datelor'!C4="Please Select","",'Introducerea datelor'!C4&amp;" - ")&amp;IF('Introducerea datelor'!G6="Please Select","",'Introducerea datelor'!G6)</f>
        <v>Tabel Programatic de Evaluare:    Moldova - TB</v>
      </c>
      <c r="C2" s="786"/>
      <c r="D2" s="786"/>
      <c r="E2" s="786"/>
      <c r="F2" s="786"/>
      <c r="G2" s="786"/>
      <c r="H2" s="786"/>
      <c r="I2" s="786"/>
      <c r="J2" s="786"/>
      <c r="K2" s="786"/>
      <c r="L2" s="1"/>
      <c r="M2" s="1"/>
      <c r="N2" s="1"/>
      <c r="O2" s="1"/>
    </row>
    <row r="3" spans="2:15">
      <c r="B3" s="127" t="str">
        <f>+IF('Introducerea datelor'!G8="Please Select","",'Introducerea datelor'!G8)</f>
        <v/>
      </c>
      <c r="C3" s="791" t="str">
        <f>+IF('Introducerea datelor'!I8="Please Select","",'Introducerea datelor'!I8)</f>
        <v>Period 1</v>
      </c>
      <c r="D3" s="791"/>
      <c r="E3" s="790"/>
      <c r="F3" s="790"/>
      <c r="G3" s="790"/>
      <c r="H3" s="790"/>
      <c r="I3" s="788" t="str">
        <f>+'Introducerea datelor'!B16</f>
        <v>Perioada de Raportare:</v>
      </c>
      <c r="J3" s="788"/>
      <c r="K3" s="159" t="str">
        <f>+'Introducerea datelor'!C16</f>
        <v>P5</v>
      </c>
      <c r="L3" s="82"/>
    </row>
    <row r="4" spans="2:15">
      <c r="B4" s="127" t="str">
        <f>+'Introducerea datelor'!B12</f>
        <v>Ultimul Rating:</v>
      </c>
      <c r="C4" s="766" t="str">
        <f>+IF('Introducerea datelor'!C12="Please Select","",'Introducerea datelor'!C12)</f>
        <v>A2</v>
      </c>
      <c r="D4" s="766"/>
      <c r="E4" s="790" t="str">
        <f>+'Introducerea datelor'!C8</f>
        <v>IP UCIMP DS</v>
      </c>
      <c r="F4" s="790"/>
      <c r="G4" s="790"/>
      <c r="H4" s="790"/>
      <c r="I4" s="788" t="str">
        <f>+'Introducerea datelor'!D16</f>
        <v>De la:</v>
      </c>
      <c r="J4" s="789"/>
      <c r="K4" s="399">
        <f>+IF(ISBLANK('Introducerea datelor'!E16),"",'Introducerea datelor'!E16)</f>
        <v>42917</v>
      </c>
    </row>
    <row r="5" spans="2:15" ht="18.75" customHeight="1">
      <c r="B5" s="127"/>
      <c r="C5" s="127"/>
      <c r="D5" s="787" t="str">
        <f>+'Introducerea datelor'!G4</f>
        <v>Consolidarea controlului Tuberculozei în Republica Moldova</v>
      </c>
      <c r="E5" s="787"/>
      <c r="F5" s="787"/>
      <c r="G5" s="787"/>
      <c r="H5" s="787"/>
      <c r="I5" s="787"/>
      <c r="J5" s="127" t="str">
        <f>+'Introducerea datelor'!F16</f>
        <v>Pînă la:</v>
      </c>
      <c r="K5" s="399">
        <f>+IF(ISBLANK('Introducerea datelor'!G16),"",'Introducerea datelor'!G16)</f>
        <v>43100</v>
      </c>
    </row>
    <row r="6" spans="2:15" ht="18.75">
      <c r="B6" s="131"/>
      <c r="C6" s="127"/>
      <c r="D6" s="128"/>
      <c r="E6" s="797" t="s">
        <v>380</v>
      </c>
      <c r="F6" s="797"/>
      <c r="G6" s="797"/>
      <c r="H6" s="797"/>
      <c r="I6" s="3"/>
      <c r="J6" s="3"/>
      <c r="K6" s="284"/>
    </row>
    <row r="7" spans="2:15" ht="10.5" customHeight="1">
      <c r="B7" s="132"/>
      <c r="C7" s="133"/>
      <c r="D7" s="134"/>
      <c r="E7" s="135"/>
      <c r="F7" s="135"/>
      <c r="G7" s="136"/>
      <c r="H7" s="136"/>
      <c r="I7" s="130"/>
      <c r="J7" s="130"/>
      <c r="K7" s="129"/>
      <c r="O7" t="s">
        <v>379</v>
      </c>
    </row>
    <row r="8" spans="2:15" ht="26.25" customHeight="1">
      <c r="B8" s="800" t="str">
        <f>+'Introducerea datelor'!B27&amp; " - in ("&amp;'Introducerea datelor'!D26&amp;")  "&amp;+I3&amp;" "&amp;+K3</f>
        <v>F1: Bugetul și debursările de către Fondul Global - in (€)  Perioada de Raportare: P5</v>
      </c>
      <c r="C8" s="773"/>
      <c r="D8" s="773"/>
      <c r="E8" s="773"/>
      <c r="F8" s="773"/>
      <c r="H8" s="164" t="str">
        <f>+'Introducerea datelor'!B48&amp; " - in ("&amp;'Introducerea datelor'!D26&amp;")         "&amp;+I3&amp;" "&amp;+K3</f>
        <v>F3: Debursări și cheltuieli - in (€)         Perioada de Raportare: P5</v>
      </c>
      <c r="I8" s="3"/>
      <c r="J8" s="3"/>
      <c r="K8" s="3"/>
    </row>
    <row r="9" spans="2:15" ht="287.25" customHeight="1">
      <c r="B9" s="277" t="s">
        <v>381</v>
      </c>
      <c r="C9" s="801" t="s">
        <v>496</v>
      </c>
      <c r="D9" s="807"/>
      <c r="E9" s="807"/>
      <c r="F9" s="808"/>
      <c r="G9" s="496"/>
      <c r="H9" s="497" t="s">
        <v>381</v>
      </c>
      <c r="I9" s="801" t="s">
        <v>491</v>
      </c>
      <c r="J9" s="807"/>
      <c r="K9" s="808"/>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473"/>
    </row>
    <row r="22" spans="1:13" ht="24" customHeight="1">
      <c r="B22" s="796" t="str">
        <f>+'Introducerea datelor'!B36&amp; " - in ("&amp;'Introducerea datelor'!D26&amp;")  "&amp;+I3&amp;" "&amp;+K3</f>
        <v>F2: Bugetul și cheltuielile actuale după Obiectivele Grantului - in (€)  Perioada de Raportare: P5</v>
      </c>
      <c r="C22" s="550"/>
      <c r="D22" s="550"/>
      <c r="E22" s="550"/>
      <c r="F22" s="550"/>
      <c r="G22" s="351"/>
      <c r="H22" s="796" t="str">
        <f>+'Introducerea datelor'!B57&amp;"      "&amp;+I3&amp;" "&amp;+K3</f>
        <v>F4: Ultima perioadă de raportare și debursare a RP       Perioada de Raportare: P5</v>
      </c>
      <c r="I22" s="773"/>
      <c r="J22" s="773"/>
      <c r="K22" s="773"/>
    </row>
    <row r="23" spans="1:13" ht="253.5" customHeight="1">
      <c r="B23" s="277" t="s">
        <v>381</v>
      </c>
      <c r="C23" s="809" t="s">
        <v>497</v>
      </c>
      <c r="D23" s="810"/>
      <c r="E23" s="810"/>
      <c r="F23" s="811"/>
      <c r="G23" s="498"/>
      <c r="H23" s="497" t="s">
        <v>381</v>
      </c>
      <c r="I23" s="801" t="s">
        <v>477</v>
      </c>
      <c r="J23" s="802"/>
      <c r="K23" s="803"/>
    </row>
    <row r="24" spans="1:13" ht="15.75" thickBot="1">
      <c r="B24" s="173"/>
      <c r="C24" s="173"/>
      <c r="D24" s="173"/>
      <c r="E24" s="173"/>
      <c r="F24" s="173"/>
      <c r="G24" s="173"/>
      <c r="H24" s="174"/>
      <c r="I24" s="174"/>
      <c r="J24" s="173"/>
      <c r="K24" s="173"/>
    </row>
    <row r="25" spans="1:13" ht="29.25" customHeight="1" thickBot="1">
      <c r="B25" s="3"/>
      <c r="C25" s="3"/>
      <c r="D25" s="3"/>
      <c r="E25" s="3"/>
      <c r="F25" s="3"/>
      <c r="G25" s="256"/>
      <c r="H25" s="804" t="s">
        <v>423</v>
      </c>
      <c r="I25" s="805"/>
      <c r="J25" s="805"/>
      <c r="K25" s="806"/>
    </row>
    <row r="26" spans="1:13" ht="24.75">
      <c r="B26" s="3"/>
      <c r="C26" s="3"/>
      <c r="D26" s="3"/>
      <c r="E26" s="3"/>
      <c r="F26" s="3"/>
      <c r="G26" s="227"/>
      <c r="H26" s="792"/>
      <c r="I26" s="793"/>
      <c r="J26" s="240" t="s">
        <v>319</v>
      </c>
      <c r="K26" s="241" t="s">
        <v>320</v>
      </c>
    </row>
    <row r="27" spans="1:13" ht="23.25" customHeight="1">
      <c r="B27" s="3"/>
      <c r="C27" s="3"/>
      <c r="D27" s="3"/>
      <c r="E27" s="3"/>
      <c r="F27" s="3"/>
      <c r="G27" s="257"/>
      <c r="H27" s="798" t="str">
        <f>'Introducerea datelor'!B61</f>
        <v>Zile necesare pentru remiterea PU/DR final către ALF</v>
      </c>
      <c r="I27" s="799"/>
      <c r="J27" s="368">
        <v>80</v>
      </c>
      <c r="K27" s="485">
        <v>80</v>
      </c>
    </row>
    <row r="28" spans="1:13" ht="25.5" customHeight="1">
      <c r="B28" s="3"/>
      <c r="C28" s="3"/>
      <c r="D28" s="3"/>
      <c r="E28" s="3"/>
      <c r="F28" s="3"/>
      <c r="G28" s="257"/>
      <c r="H28" s="798" t="str">
        <f>'Introducerea datelor'!B62</f>
        <v>Zile necesare pentru debursare către RP</v>
      </c>
      <c r="I28" s="799"/>
      <c r="J28" s="368">
        <f>+'Introducerea datelor'!C62</f>
        <v>0</v>
      </c>
      <c r="K28" s="397">
        <f>+'Introducerea datelor'!D62</f>
        <v>0</v>
      </c>
    </row>
    <row r="29" spans="1:13" ht="24.75" customHeight="1" thickBot="1">
      <c r="B29" s="3"/>
      <c r="C29" s="3"/>
      <c r="D29" s="3"/>
      <c r="E29" s="3"/>
      <c r="F29" s="3"/>
      <c r="G29" s="257"/>
      <c r="H29" s="794" t="str">
        <f>'Introducerea datelor'!B63</f>
        <v>Zile necesare pentru debursare către SR</v>
      </c>
      <c r="I29" s="795"/>
      <c r="J29" s="369">
        <f>+'Introducerea datelor'!C63</f>
        <v>10</v>
      </c>
      <c r="K29" s="486">
        <f>+'Introducerea datelor'!D63</f>
        <v>10</v>
      </c>
    </row>
    <row r="30" spans="1:13">
      <c r="B30" s="3"/>
      <c r="C30" s="3"/>
      <c r="D30" s="3"/>
      <c r="E30" s="3"/>
      <c r="F30" s="3"/>
      <c r="G30" s="3"/>
      <c r="H30" s="3"/>
      <c r="I30" s="3"/>
      <c r="J30" s="3"/>
      <c r="K30" s="3"/>
    </row>
    <row r="31" spans="1:13">
      <c r="B31" s="3"/>
      <c r="C31" s="15"/>
      <c r="D31" s="193"/>
      <c r="E31" s="3"/>
      <c r="F31" s="3"/>
      <c r="G31" s="3"/>
      <c r="H31" s="3"/>
      <c r="I31" s="3"/>
      <c r="J31" s="3"/>
      <c r="K31" s="3"/>
    </row>
    <row r="32" spans="1:13">
      <c r="B32" s="3"/>
      <c r="C32" s="15"/>
      <c r="D32" s="193"/>
      <c r="E32" s="3"/>
      <c r="F32" s="3"/>
      <c r="G32" s="3"/>
      <c r="H32" s="3"/>
      <c r="I32" s="3"/>
      <c r="J32" s="3"/>
      <c r="K32" s="3"/>
    </row>
    <row r="34" spans="5:5">
      <c r="E34" s="19"/>
    </row>
  </sheetData>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256" scale="68"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1:AI43"/>
  <sheetViews>
    <sheetView showGridLines="0" zoomScale="85" zoomScaleNormal="85" zoomScaleSheetLayoutView="100" workbookViewId="0">
      <selection activeCell="A26" sqref="A26:XFD26"/>
    </sheetView>
  </sheetViews>
  <sheetFormatPr defaultColWidth="11" defaultRowHeight="15"/>
  <cols>
    <col min="1" max="1" width="9" style="364" customWidth="1"/>
    <col min="2" max="2" width="11.28515625" customWidth="1"/>
    <col min="3" max="3" width="14.140625" customWidth="1"/>
    <col min="4" max="4" width="14.85546875" customWidth="1"/>
    <col min="5" max="5" width="9.5703125" style="365" customWidth="1"/>
    <col min="6" max="6" width="11.28515625" style="365" customWidth="1"/>
    <col min="7" max="9" width="6" customWidth="1"/>
    <col min="10" max="10" width="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363"/>
      <c r="B1" s="3"/>
      <c r="C1" s="3"/>
      <c r="D1" s="3"/>
      <c r="E1" s="366"/>
      <c r="F1" s="366"/>
      <c r="G1" s="3"/>
      <c r="H1" s="3"/>
      <c r="I1" s="3"/>
      <c r="J1" s="3"/>
      <c r="K1" s="3"/>
      <c r="L1" s="3"/>
      <c r="M1" s="3"/>
      <c r="N1" s="3"/>
      <c r="O1" s="3"/>
      <c r="P1" s="3"/>
    </row>
    <row r="2" spans="1:35" ht="21.75" customHeight="1">
      <c r="A2" s="363"/>
      <c r="B2" s="812" t="str">
        <f>+"Tabel Programatic de Evaluare:  "&amp;"  "&amp;IF(+'Introducerea datelor'!C4="Please Select","",'Introducerea datelor'!C4&amp;" - ")&amp;IF('Introducerea datelor'!G6="Please Select","",'Introducerea datelor'!G6)</f>
        <v>Tabel Programatic de Evaluare:    Moldova - TB</v>
      </c>
      <c r="C2" s="812"/>
      <c r="D2" s="812"/>
      <c r="E2" s="812"/>
      <c r="F2" s="812"/>
      <c r="G2" s="812"/>
      <c r="H2" s="812"/>
      <c r="I2" s="812"/>
      <c r="J2" s="812"/>
      <c r="K2" s="812"/>
      <c r="L2" s="812"/>
      <c r="M2" s="812"/>
      <c r="N2" s="812"/>
      <c r="O2" s="812"/>
      <c r="P2" s="812"/>
      <c r="Q2" s="812"/>
    </row>
    <row r="3" spans="1:35" ht="18.75" customHeight="1">
      <c r="A3" s="363"/>
      <c r="B3" s="127" t="str">
        <f>+IF('Introducerea datelor'!G8="Please Select","",'Introducerea datelor'!G8)</f>
        <v/>
      </c>
      <c r="C3" s="791" t="str">
        <f>+IF('Introducerea datelor'!I8="Please Select","",'Introducerea datelor'!I8)</f>
        <v>Period 1</v>
      </c>
      <c r="D3" s="791"/>
      <c r="E3" s="790"/>
      <c r="F3" s="790"/>
      <c r="G3" s="790"/>
      <c r="H3" s="790"/>
      <c r="I3" s="814"/>
      <c r="J3" s="814"/>
      <c r="K3" s="814"/>
      <c r="L3" s="3"/>
      <c r="M3" s="3"/>
      <c r="N3" s="853" t="str">
        <f>+'Introducerea datelor'!B16</f>
        <v>Perioada de Raportare:</v>
      </c>
      <c r="O3" s="773"/>
      <c r="P3" s="773"/>
      <c r="Q3" s="160" t="str">
        <f>+'Introducerea datelor'!C16</f>
        <v>P5</v>
      </c>
    </row>
    <row r="4" spans="1:35" ht="12" customHeight="1">
      <c r="A4" s="363"/>
      <c r="B4" s="127" t="str">
        <f>+'Introducerea datelor'!B12</f>
        <v>Ultimul Rating:</v>
      </c>
      <c r="C4" s="815" t="str">
        <f>+IF('Introducerea datelor'!C12="Please Select","",'Introducerea datelor'!C12)</f>
        <v>A2</v>
      </c>
      <c r="D4" s="815"/>
      <c r="E4" s="790" t="str">
        <f>+'Introducerea datelor'!C8</f>
        <v>IP UCIMP DS</v>
      </c>
      <c r="F4" s="790"/>
      <c r="G4" s="790"/>
      <c r="H4" s="790"/>
      <c r="I4" s="790"/>
      <c r="J4" s="790"/>
      <c r="K4" s="790"/>
      <c r="L4" s="790"/>
      <c r="M4" s="3"/>
      <c r="O4" s="264"/>
      <c r="P4" s="127" t="str">
        <f>+'Introducerea datelor'!D16</f>
        <v>De la:</v>
      </c>
      <c r="Q4" s="400">
        <f>+IF(ISBLANK('Introducerea datelor'!E16),"",'Introducerea datelor'!E16)</f>
        <v>42917</v>
      </c>
      <c r="Y4" s="70"/>
      <c r="Z4" s="70"/>
      <c r="AA4" s="70"/>
      <c r="AB4" s="70"/>
      <c r="AC4" s="70"/>
    </row>
    <row r="5" spans="1:35" ht="15.75" customHeight="1">
      <c r="A5" s="363"/>
      <c r="B5" s="127"/>
      <c r="C5" s="127"/>
      <c r="D5" s="790" t="str">
        <f>+'Introducerea datelor'!G4</f>
        <v>Consolidarea controlului Tuberculozei în Republica Moldova</v>
      </c>
      <c r="E5" s="790"/>
      <c r="F5" s="790"/>
      <c r="G5" s="790"/>
      <c r="H5" s="790"/>
      <c r="I5" s="790"/>
      <c r="J5" s="790"/>
      <c r="K5" s="790"/>
      <c r="L5" s="790"/>
      <c r="M5" s="790"/>
      <c r="N5" s="790"/>
      <c r="P5" s="127" t="str">
        <f>+'Introducerea datelor'!F16</f>
        <v>Pînă la:</v>
      </c>
      <c r="Q5" s="400">
        <f>+IF(ISBLANK('Introducerea datelor'!G16),"",'Introducerea datelor'!G16)</f>
        <v>43100</v>
      </c>
      <c r="S5" s="185"/>
      <c r="T5" s="185"/>
      <c r="U5" s="185"/>
      <c r="V5" s="185"/>
      <c r="W5" s="185"/>
      <c r="X5" s="185"/>
      <c r="Y5" s="70"/>
      <c r="Z5" s="70"/>
      <c r="AA5" s="70" t="s">
        <v>23</v>
      </c>
      <c r="AB5" s="70"/>
      <c r="AC5" s="70" t="s">
        <v>214</v>
      </c>
      <c r="AD5" s="185"/>
      <c r="AE5" s="185"/>
      <c r="AF5" s="185"/>
      <c r="AG5" s="185"/>
      <c r="AH5" s="185"/>
      <c r="AI5" s="185"/>
    </row>
    <row r="6" spans="1:35" ht="15.75" customHeight="1">
      <c r="A6" s="363"/>
      <c r="B6" s="127"/>
      <c r="C6" s="127"/>
      <c r="D6" s="183"/>
      <c r="E6" s="183"/>
      <c r="F6" s="813" t="s">
        <v>393</v>
      </c>
      <c r="G6" s="813"/>
      <c r="H6" s="813"/>
      <c r="I6" s="813"/>
      <c r="J6" s="813"/>
      <c r="K6" s="813"/>
      <c r="L6" s="183"/>
      <c r="M6" s="3"/>
      <c r="N6" s="3"/>
      <c r="O6" s="162"/>
      <c r="P6" s="207"/>
      <c r="S6" s="185"/>
      <c r="T6" s="185"/>
      <c r="U6" s="185"/>
      <c r="V6" s="185"/>
      <c r="W6" s="185"/>
      <c r="X6" s="185"/>
      <c r="Y6" s="70"/>
      <c r="Z6" s="70"/>
      <c r="AA6" s="70"/>
      <c r="AB6" s="70"/>
      <c r="AC6" s="70"/>
      <c r="AD6" s="185"/>
      <c r="AE6" s="185"/>
      <c r="AF6" s="185"/>
      <c r="AG6" s="185"/>
      <c r="AH6" s="185"/>
      <c r="AI6" s="185"/>
    </row>
    <row r="7" spans="1:35" ht="3" customHeight="1">
      <c r="A7" s="363"/>
      <c r="B7" s="127"/>
      <c r="C7" s="127"/>
      <c r="D7" s="183"/>
      <c r="E7" s="183"/>
      <c r="F7" s="183"/>
      <c r="G7" s="183"/>
      <c r="H7" s="183"/>
      <c r="I7" s="183"/>
      <c r="J7" s="183"/>
      <c r="K7" s="183"/>
      <c r="L7" s="183"/>
      <c r="M7" s="3"/>
      <c r="N7" s="3"/>
      <c r="O7" s="162"/>
      <c r="P7" s="161"/>
      <c r="Q7" s="161"/>
      <c r="S7" s="185"/>
      <c r="T7" s="185"/>
      <c r="U7" s="185"/>
      <c r="V7" s="185"/>
      <c r="W7" s="185"/>
      <c r="X7" s="185"/>
      <c r="Y7" s="70"/>
      <c r="Z7" s="70"/>
      <c r="AA7" s="70"/>
      <c r="AB7" s="70"/>
      <c r="AC7" s="70"/>
      <c r="AD7" s="185"/>
      <c r="AE7" s="185"/>
      <c r="AF7" s="185"/>
      <c r="AG7" s="185"/>
      <c r="AH7" s="185"/>
      <c r="AI7" s="185"/>
    </row>
    <row r="8" spans="1:35" ht="106.5" customHeight="1">
      <c r="A8" s="363"/>
      <c r="C8" s="855" t="str">
        <f>+'Introducerea datelor'!B116</f>
        <v>Rata mortalităţii  - Numărul de decese cauzate de TB (toate formele) pe an, la 100 000 persoane</v>
      </c>
      <c r="D8" s="855"/>
      <c r="E8" s="855"/>
      <c r="F8" s="480"/>
      <c r="G8" s="855"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H8" s="855"/>
      <c r="I8" s="855"/>
      <c r="J8" s="855"/>
      <c r="K8" s="855"/>
      <c r="L8" s="481"/>
      <c r="M8" s="854"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N8" s="854"/>
      <c r="O8" s="854"/>
      <c r="P8" s="854"/>
      <c r="Q8" s="854"/>
      <c r="S8" s="185"/>
      <c r="T8" s="185"/>
      <c r="U8" s="185"/>
      <c r="V8" s="185"/>
      <c r="W8" s="185"/>
      <c r="X8" s="185"/>
      <c r="Y8" s="70"/>
      <c r="Z8" s="70"/>
      <c r="AA8" s="70"/>
      <c r="AB8" s="70"/>
      <c r="AC8" s="70"/>
      <c r="AD8" s="185"/>
      <c r="AE8" s="185"/>
      <c r="AF8" s="185"/>
      <c r="AG8" s="185"/>
      <c r="AH8" s="185"/>
      <c r="AI8" s="185"/>
    </row>
    <row r="9" spans="1:35" ht="77.25" customHeight="1">
      <c r="A9" s="363"/>
      <c r="B9" s="482" t="s">
        <v>388</v>
      </c>
      <c r="C9" s="850" t="s">
        <v>481</v>
      </c>
      <c r="D9" s="856"/>
      <c r="E9" s="857"/>
      <c r="F9" s="483" t="s">
        <v>389</v>
      </c>
      <c r="G9" s="858" t="s">
        <v>482</v>
      </c>
      <c r="H9" s="856"/>
      <c r="I9" s="856"/>
      <c r="J9" s="856"/>
      <c r="K9" s="857"/>
      <c r="L9" s="483" t="s">
        <v>390</v>
      </c>
      <c r="M9" s="850" t="s">
        <v>483</v>
      </c>
      <c r="N9" s="851"/>
      <c r="O9" s="851"/>
      <c r="P9" s="851"/>
      <c r="Q9" s="852"/>
      <c r="S9" s="423"/>
      <c r="T9" s="185"/>
      <c r="U9" s="185"/>
      <c r="V9" s="185"/>
      <c r="W9" s="185"/>
      <c r="X9" s="185"/>
      <c r="Y9" s="185"/>
      <c r="Z9" s="185"/>
      <c r="AA9" s="185"/>
      <c r="AB9" s="185"/>
      <c r="AC9" s="185"/>
      <c r="AD9" s="185"/>
      <c r="AE9" s="185"/>
      <c r="AF9" s="185"/>
      <c r="AG9" s="185"/>
      <c r="AH9" s="185"/>
      <c r="AI9" s="185"/>
    </row>
    <row r="10" spans="1:35" ht="18.75" customHeight="1">
      <c r="A10" s="363"/>
      <c r="B10" s="127"/>
      <c r="C10" s="127"/>
      <c r="D10" s="183"/>
      <c r="E10" s="183"/>
      <c r="F10" s="183"/>
      <c r="G10" s="183"/>
      <c r="H10" s="183"/>
      <c r="I10" s="183"/>
      <c r="J10" s="183"/>
      <c r="K10" s="183"/>
      <c r="L10" s="183"/>
      <c r="M10" s="3"/>
      <c r="N10" s="3"/>
      <c r="O10" s="162"/>
      <c r="P10" s="161"/>
      <c r="S10" s="185"/>
      <c r="T10" s="185"/>
      <c r="U10" s="185"/>
      <c r="V10" s="185"/>
      <c r="W10" s="185"/>
      <c r="X10" s="185"/>
      <c r="Y10" s="185"/>
      <c r="Z10" s="185"/>
      <c r="AA10" s="185"/>
      <c r="AB10" s="185"/>
      <c r="AC10" s="185"/>
      <c r="AD10" s="185"/>
      <c r="AE10" s="185"/>
      <c r="AF10" s="185"/>
      <c r="AG10" s="185"/>
      <c r="AH10" s="185"/>
      <c r="AI10" s="185"/>
    </row>
    <row r="11" spans="1:35" ht="18.75" customHeight="1">
      <c r="A11" s="363"/>
      <c r="B11" s="127"/>
      <c r="C11" s="127"/>
      <c r="D11" s="183"/>
      <c r="E11" s="183"/>
      <c r="F11" s="183"/>
      <c r="G11" s="183"/>
      <c r="H11" s="183"/>
      <c r="I11" s="183"/>
      <c r="J11" s="183"/>
      <c r="K11" s="183"/>
      <c r="L11" s="183"/>
      <c r="M11" s="3"/>
      <c r="N11" s="3"/>
      <c r="O11" s="162"/>
      <c r="P11" s="161"/>
      <c r="S11" s="185"/>
      <c r="T11" s="185"/>
      <c r="U11" s="185"/>
      <c r="V11" s="185"/>
      <c r="W11" s="185"/>
      <c r="X11" s="185"/>
      <c r="Y11" s="185"/>
      <c r="Z11" s="185"/>
      <c r="AA11" s="185"/>
      <c r="AB11" s="185"/>
      <c r="AC11" s="185"/>
      <c r="AD11" s="185"/>
      <c r="AE11" s="185"/>
      <c r="AF11" s="185"/>
      <c r="AG11" s="185"/>
      <c r="AH11" s="185"/>
      <c r="AI11" s="185"/>
    </row>
    <row r="12" spans="1:35" ht="18.75" customHeight="1">
      <c r="A12" s="363"/>
      <c r="B12" s="127"/>
      <c r="C12" s="127"/>
      <c r="D12" s="183"/>
      <c r="E12" s="183"/>
      <c r="F12" s="183"/>
      <c r="G12" s="183"/>
      <c r="H12" s="183"/>
      <c r="I12" s="183"/>
      <c r="J12" s="183"/>
      <c r="K12" s="183"/>
      <c r="L12" s="183"/>
      <c r="M12" s="3"/>
      <c r="N12" s="3"/>
      <c r="O12" s="162"/>
      <c r="P12" s="161"/>
      <c r="S12" s="185"/>
      <c r="T12" s="185"/>
      <c r="U12" s="185"/>
      <c r="V12" s="185"/>
      <c r="W12" s="185"/>
      <c r="X12" s="185"/>
      <c r="Y12" s="185"/>
      <c r="Z12" s="185"/>
      <c r="AA12" s="185"/>
      <c r="AB12" s="185"/>
      <c r="AC12" s="185"/>
      <c r="AD12" s="185"/>
      <c r="AE12" s="185"/>
      <c r="AF12" s="185"/>
      <c r="AG12" s="185"/>
      <c r="AH12" s="185"/>
      <c r="AI12" s="185"/>
    </row>
    <row r="13" spans="1:35" ht="18.75" customHeight="1">
      <c r="A13" s="363"/>
      <c r="B13" s="127"/>
      <c r="C13" s="127"/>
      <c r="D13" s="183"/>
      <c r="E13" s="183"/>
      <c r="F13" s="183"/>
      <c r="G13" s="183"/>
      <c r="H13" s="183"/>
      <c r="I13" s="183"/>
      <c r="J13" s="183"/>
      <c r="K13" s="183"/>
      <c r="L13" s="183"/>
      <c r="M13" s="3"/>
      <c r="N13" s="3"/>
      <c r="O13" s="162"/>
      <c r="P13" s="161"/>
      <c r="S13" s="185"/>
      <c r="T13" s="185"/>
      <c r="U13" s="185"/>
      <c r="V13" s="185"/>
      <c r="W13" s="185"/>
      <c r="X13" s="185"/>
      <c r="Y13" s="185"/>
      <c r="Z13" s="185"/>
      <c r="AA13" s="185"/>
      <c r="AB13" s="185"/>
      <c r="AC13" s="185"/>
      <c r="AD13" s="185"/>
      <c r="AE13" s="185"/>
      <c r="AF13" s="185"/>
      <c r="AG13" s="185"/>
      <c r="AH13" s="185"/>
      <c r="AI13" s="185"/>
    </row>
    <row r="14" spans="1:35" ht="18.75" customHeight="1">
      <c r="A14" s="363"/>
      <c r="B14" s="127"/>
      <c r="C14" s="127"/>
      <c r="D14" s="183"/>
      <c r="E14" s="183"/>
      <c r="F14" s="183"/>
      <c r="G14" s="183"/>
      <c r="H14" s="183"/>
      <c r="I14" s="183"/>
      <c r="J14" s="183"/>
      <c r="K14" s="183"/>
      <c r="L14" s="183"/>
      <c r="M14" s="3"/>
      <c r="N14" s="3"/>
      <c r="O14" s="162"/>
      <c r="P14" s="161"/>
      <c r="S14" s="185"/>
      <c r="T14" s="185"/>
      <c r="U14" s="185"/>
      <c r="V14" s="185"/>
      <c r="W14" s="185"/>
      <c r="X14" s="185"/>
      <c r="Y14" s="185"/>
      <c r="Z14" s="185"/>
      <c r="AA14" s="185"/>
      <c r="AB14" s="185"/>
      <c r="AC14" s="185"/>
      <c r="AD14" s="185"/>
      <c r="AE14" s="185"/>
      <c r="AF14" s="185"/>
      <c r="AG14" s="185"/>
      <c r="AH14" s="185"/>
      <c r="AI14" s="185"/>
    </row>
    <row r="15" spans="1:35" ht="18.75" customHeight="1">
      <c r="A15" s="363"/>
      <c r="B15" s="127"/>
      <c r="C15" s="127"/>
      <c r="D15" s="183"/>
      <c r="E15" s="183"/>
      <c r="F15" s="183"/>
      <c r="G15" s="183"/>
      <c r="H15" s="183"/>
      <c r="I15" s="183"/>
      <c r="J15" s="183"/>
      <c r="K15" s="183"/>
      <c r="L15" s="183"/>
      <c r="M15" s="3"/>
      <c r="N15" s="3"/>
      <c r="O15" s="162"/>
      <c r="P15" s="161"/>
      <c r="S15" s="185"/>
      <c r="T15" s="185"/>
      <c r="U15" s="185"/>
      <c r="V15" s="185"/>
      <c r="W15" s="185"/>
      <c r="X15" s="185"/>
      <c r="Y15" s="185"/>
      <c r="Z15" s="185"/>
      <c r="AA15" s="185"/>
      <c r="AB15" s="185"/>
      <c r="AC15" s="185"/>
      <c r="AD15" s="185"/>
      <c r="AE15" s="185"/>
      <c r="AF15" s="185"/>
      <c r="AG15" s="185"/>
      <c r="AH15" s="185"/>
      <c r="AI15" s="185"/>
    </row>
    <row r="16" spans="1:35" ht="18.75" customHeight="1">
      <c r="A16" s="363"/>
      <c r="B16" s="127"/>
      <c r="C16" s="127"/>
      <c r="D16" s="183"/>
      <c r="E16" s="183"/>
      <c r="F16" s="183"/>
      <c r="G16" s="183"/>
      <c r="H16" s="183"/>
      <c r="I16" s="183"/>
      <c r="J16" s="183"/>
      <c r="K16" s="183"/>
      <c r="L16" s="183"/>
      <c r="M16" s="3"/>
      <c r="N16" s="3"/>
      <c r="O16" s="162"/>
      <c r="P16" s="161"/>
      <c r="S16" s="185"/>
      <c r="T16" s="185"/>
      <c r="U16" s="185"/>
      <c r="V16" s="185"/>
      <c r="W16" s="185"/>
      <c r="X16" s="185"/>
      <c r="Y16" s="185"/>
      <c r="Z16" s="185"/>
      <c r="AA16" s="185"/>
      <c r="AB16" s="185"/>
      <c r="AC16" s="185"/>
      <c r="AD16" s="185"/>
      <c r="AE16" s="185"/>
      <c r="AF16" s="185"/>
      <c r="AG16" s="185"/>
      <c r="AH16" s="185"/>
      <c r="AI16" s="185"/>
    </row>
    <row r="17" spans="1:35" ht="17.25" customHeight="1">
      <c r="A17" s="363"/>
      <c r="B17" s="127"/>
      <c r="C17" s="127"/>
      <c r="D17" s="183"/>
      <c r="E17" s="183"/>
      <c r="F17" s="183"/>
      <c r="G17" s="183"/>
      <c r="H17" s="183"/>
      <c r="I17" s="183"/>
      <c r="J17" s="183"/>
      <c r="K17" s="183"/>
      <c r="L17" s="183"/>
      <c r="M17" s="3"/>
      <c r="N17" s="3"/>
      <c r="O17" s="162"/>
      <c r="P17" s="161"/>
      <c r="S17" s="185"/>
      <c r="T17" s="185"/>
      <c r="U17" s="185"/>
      <c r="V17" s="185"/>
      <c r="W17" s="185"/>
      <c r="X17" s="185"/>
      <c r="Y17" s="185"/>
      <c r="Z17" s="185"/>
      <c r="AA17" s="185"/>
      <c r="AB17" s="185"/>
      <c r="AC17" s="185"/>
      <c r="AD17" s="185"/>
      <c r="AE17" s="185"/>
      <c r="AF17" s="185"/>
      <c r="AG17" s="185"/>
      <c r="AH17" s="185"/>
      <c r="AI17" s="185"/>
    </row>
    <row r="18" spans="1:35" ht="6" customHeight="1">
      <c r="A18" s="363"/>
      <c r="B18" s="131"/>
      <c r="C18" s="127"/>
      <c r="D18" s="128"/>
      <c r="E18" s="859"/>
      <c r="F18" s="859"/>
      <c r="G18" s="859"/>
      <c r="H18" s="859"/>
      <c r="I18" s="859"/>
      <c r="J18" s="859"/>
      <c r="K18" s="859"/>
      <c r="L18" s="3"/>
      <c r="M18" s="3"/>
      <c r="N18" s="3"/>
      <c r="O18" s="3"/>
      <c r="P18" s="3"/>
      <c r="S18" s="185"/>
      <c r="T18" s="185"/>
      <c r="U18" s="185"/>
      <c r="V18" s="185"/>
      <c r="W18" s="185"/>
      <c r="X18" s="185"/>
      <c r="Y18" s="185"/>
      <c r="Z18" s="185"/>
      <c r="AA18" s="185"/>
      <c r="AB18" s="185"/>
      <c r="AC18" s="185"/>
      <c r="AD18" s="185"/>
      <c r="AE18" s="185"/>
      <c r="AF18" s="185"/>
      <c r="AG18" s="185"/>
      <c r="AH18" s="185"/>
      <c r="AI18" s="185"/>
    </row>
    <row r="19" spans="1:35" ht="24" customHeight="1">
      <c r="A19" s="363"/>
      <c r="B19" s="860" t="s">
        <v>391</v>
      </c>
      <c r="C19" s="860"/>
      <c r="D19" s="860"/>
      <c r="E19" s="137" t="s">
        <v>366</v>
      </c>
      <c r="F19" s="137" t="s">
        <v>367</v>
      </c>
      <c r="G19" s="824" t="s">
        <v>249</v>
      </c>
      <c r="H19" s="825"/>
      <c r="I19" s="826" t="s">
        <v>250</v>
      </c>
      <c r="J19" s="827"/>
      <c r="K19" s="263" t="s">
        <v>251</v>
      </c>
      <c r="L19" s="816" t="s">
        <v>392</v>
      </c>
      <c r="M19" s="817"/>
      <c r="N19" s="817"/>
      <c r="O19" s="817"/>
      <c r="P19" s="817"/>
      <c r="Q19" s="818"/>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145.5" customHeight="1">
      <c r="A20" s="479" t="s">
        <v>421</v>
      </c>
      <c r="B20" s="829" t="str">
        <f>+'Introducerea datelor'!B116</f>
        <v>Rata mortalităţii  - Numărul de decese cauzate de TB (toate formele) pe an, la 100 000 persoane</v>
      </c>
      <c r="C20" s="829"/>
      <c r="D20" s="829"/>
      <c r="E20" s="407">
        <f ca="1">OFFSET('Introducerea datelor'!$G$115,1,RIGHT('Introducerea datelor'!$C$16,LEN('Introducerea datelor'!$C$16)-1),1,1)</f>
        <v>8.6999999999999993</v>
      </c>
      <c r="F20" s="407">
        <f ca="1">OFFSET('Introducerea datelor'!$G$115,2,RIGHT('Introducerea datelor'!$C$16,LEN('Introducerea datelor'!$C$16)-1),1,1)</f>
        <v>7.9</v>
      </c>
      <c r="G20" s="821">
        <f ca="1">+IF(ISERROR(F20/E20),0,E20/F20)</f>
        <v>1.10126582278481</v>
      </c>
      <c r="H20" s="822"/>
      <c r="I20" s="822"/>
      <c r="J20" s="822"/>
      <c r="K20" s="823"/>
      <c r="L20" s="839" t="s">
        <v>479</v>
      </c>
      <c r="M20" s="840"/>
      <c r="N20" s="840"/>
      <c r="O20" s="840"/>
      <c r="P20" s="840"/>
      <c r="Q20" s="841"/>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11" customHeight="1">
      <c r="A21" s="479" t="s">
        <v>453</v>
      </c>
      <c r="B21" s="829"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21" s="829"/>
      <c r="D21" s="829"/>
      <c r="E21" s="407">
        <f ca="1">OFFSET('Introducerea datelor'!$G$115,3,RIGHT('Introducerea datelor'!$C$16,LEN('Introducerea datelor'!$C$16)-1),1,1)</f>
        <v>20.5</v>
      </c>
      <c r="F21" s="407">
        <f ca="1">OFFSET('Introducerea datelor'!$G$115,4,RIGHT('Introducerea datelor'!$C$16,LEN('Introducerea datelor'!$C$16)-1),1,1)</f>
        <v>24.4</v>
      </c>
      <c r="G21" s="821">
        <f ca="1">+IF(ISERROR(E21/F21),0,E21/F21)</f>
        <v>0.84016393442622961</v>
      </c>
      <c r="H21" s="822"/>
      <c r="I21" s="822"/>
      <c r="J21" s="822"/>
      <c r="K21" s="823"/>
      <c r="L21" s="839" t="s">
        <v>480</v>
      </c>
      <c r="M21" s="842"/>
      <c r="N21" s="842"/>
      <c r="O21" s="842"/>
      <c r="P21" s="842"/>
      <c r="Q21" s="843"/>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258.75" customHeight="1">
      <c r="A22" s="398" t="s">
        <v>429</v>
      </c>
      <c r="B22" s="829"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22" s="829"/>
      <c r="D22" s="829"/>
      <c r="E22" s="407">
        <f ca="1">OFFSET('Introducerea datelor'!$G$115,5,RIGHT('Introducerea datelor'!$C$16,LEN('Introducerea datelor'!$C$16)-1),1,1)</f>
        <v>65</v>
      </c>
      <c r="F22" s="407">
        <f ca="1">OFFSET('Introducerea datelor'!$G$115,6,RIGHT('Introducerea datelor'!$C$16,LEN('Introducerea datelor'!$C$16)-1),1,1)</f>
        <v>49.7</v>
      </c>
      <c r="G22" s="821">
        <f ca="1">+IF(ISERROR(E22/F22),0,F22/E22)</f>
        <v>0.7646153846153847</v>
      </c>
      <c r="H22" s="822"/>
      <c r="I22" s="822"/>
      <c r="J22" s="822"/>
      <c r="K22" s="823"/>
      <c r="L22" s="839" t="s">
        <v>484</v>
      </c>
      <c r="M22" s="844"/>
      <c r="N22" s="844"/>
      <c r="O22" s="844"/>
      <c r="P22" s="844"/>
      <c r="Q22" s="845"/>
      <c r="S22" s="68"/>
      <c r="T22" s="66" t="e">
        <f t="shared" ref="T22:W30" si="0">IF($K20&gt;T$19,IF($K20&lt;=T$20,$K20,NA()),NA())</f>
        <v>#N/A</v>
      </c>
      <c r="U22" s="66" t="e">
        <f t="shared" si="0"/>
        <v>#N/A</v>
      </c>
      <c r="V22" s="66" t="e">
        <f t="shared" si="0"/>
        <v>#N/A</v>
      </c>
      <c r="W22" s="66" t="e">
        <f t="shared" si="0"/>
        <v>#N/A</v>
      </c>
      <c r="X22" s="66" t="e">
        <f>IF($K20&gt;X$19,IF($K20&lt;=X$20,1,NA()),NA())</f>
        <v>#N/A</v>
      </c>
      <c r="Y22" s="70"/>
      <c r="Z22" s="158"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38.75" customHeight="1">
      <c r="A23" s="398" t="s">
        <v>428</v>
      </c>
      <c r="B23" s="829" t="str">
        <f>+'Introducerea datelor'!B122</f>
        <v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v>
      </c>
      <c r="C23" s="829"/>
      <c r="D23" s="829"/>
      <c r="E23" s="407">
        <f ca="1">OFFSET('Introducerea datelor'!$G$115,7,RIGHT('Introducerea datelor'!$C$16,LEN('Introducerea datelor'!$C$16)-1),1,1)</f>
        <v>103.5</v>
      </c>
      <c r="F23" s="407">
        <f ca="1">OFFSET('Introducerea datelor'!$G$115,8,RIGHT('Introducerea datelor'!$C$16,LEN('Introducerea datelor'!$C$16)-1),1,1)</f>
        <v>83.3</v>
      </c>
      <c r="G23" s="821">
        <f ca="1">+IF(ISERROR(F23/E23),0,F23/E23)</f>
        <v>0.80483091787439609</v>
      </c>
      <c r="H23" s="822"/>
      <c r="I23" s="822"/>
      <c r="J23" s="822"/>
      <c r="K23" s="823"/>
      <c r="L23" s="847" t="s">
        <v>485</v>
      </c>
      <c r="M23" s="848"/>
      <c r="N23" s="848"/>
      <c r="O23" s="848"/>
      <c r="P23" s="848"/>
      <c r="Q23" s="849"/>
      <c r="S23" s="68"/>
      <c r="T23" s="66" t="e">
        <f t="shared" si="0"/>
        <v>#N/A</v>
      </c>
      <c r="U23" s="66" t="e">
        <f t="shared" si="0"/>
        <v>#N/A</v>
      </c>
      <c r="V23" s="66" t="e">
        <f t="shared" si="0"/>
        <v>#N/A</v>
      </c>
      <c r="W23" s="66" t="e">
        <f t="shared" si="0"/>
        <v>#N/A</v>
      </c>
      <c r="X23" s="66" t="e">
        <f>IF($K21&gt;X$19,IF($K21&lt;=X$20,1,1),NA())</f>
        <v>#N/A</v>
      </c>
      <c r="Y23" s="70"/>
      <c r="Z23" s="158"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86.25" customHeight="1">
      <c r="A24" s="398" t="s">
        <v>439</v>
      </c>
      <c r="B24" s="829" t="str">
        <f>+'Introducerea datelor'!B124</f>
        <v>Numărul de cazuri de TB DR (RR-TB și/sau MDR-TB), confirmate bacteriologic, notificate</v>
      </c>
      <c r="C24" s="829"/>
      <c r="D24" s="829"/>
      <c r="E24" s="507">
        <f ca="1">OFFSET('Introducerea datelor'!$G$115,9,RIGHT('Introducerea datelor'!$C$16,LEN('Introducerea datelor'!$C$16)-1),1,1)</f>
        <v>868</v>
      </c>
      <c r="F24" s="508">
        <f ca="1">OFFSET('Introducerea datelor'!$G$115,10,RIGHT('Introducerea datelor'!$C$16,LEN('Introducerea datelor'!$C$16)-1),1,1)</f>
        <v>1031</v>
      </c>
      <c r="G24" s="821">
        <f ca="1">+IF(ISERROR(F24/E24),0,F24/E24)</f>
        <v>1.1877880184331797</v>
      </c>
      <c r="H24" s="822"/>
      <c r="I24" s="822"/>
      <c r="J24" s="822"/>
      <c r="K24" s="823"/>
      <c r="L24" s="820" t="s">
        <v>486</v>
      </c>
      <c r="M24" s="820"/>
      <c r="N24" s="820"/>
      <c r="O24" s="820"/>
      <c r="P24" s="820"/>
      <c r="Q24" s="820"/>
      <c r="S24" s="68"/>
      <c r="T24" s="66" t="e">
        <f t="shared" si="0"/>
        <v>#N/A</v>
      </c>
      <c r="U24" s="66" t="e">
        <f t="shared" si="0"/>
        <v>#N/A</v>
      </c>
      <c r="V24" s="66" t="e">
        <f t="shared" si="0"/>
        <v>#N/A</v>
      </c>
      <c r="W24" s="66" t="e">
        <f t="shared" si="0"/>
        <v>#N/A</v>
      </c>
      <c r="X24" s="66" t="e">
        <f t="shared" ref="X24:X30" si="2">IF($K22&gt;X$19,IF($K22&lt;=X$20,1,NA()),NA())</f>
        <v>#N/A</v>
      </c>
      <c r="Y24" s="70"/>
      <c r="Z24" s="158"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118.5" customHeight="1">
      <c r="A25" s="398" t="s">
        <v>458</v>
      </c>
      <c r="B25" s="836" t="str">
        <f>+'Introducerea datelor'!B126</f>
        <v xml:space="preserve">Numărul cazurilor cu tuberculoză drog-rezistentă (RR-TB și/sau MDR-TB), confirmate bacteriologic, care au demarat tratamentul DOTS-Plus în perioada raportată                 </v>
      </c>
      <c r="C25" s="837"/>
      <c r="D25" s="838"/>
      <c r="E25" s="506">
        <f ca="1">OFFSET('Introducerea datelor'!$G$115,11,RIGHT('Introducerea datelor'!$C$16,LEN('Introducerea datelor'!$C$16)-1),1,1)</f>
        <v>730</v>
      </c>
      <c r="F25" s="506">
        <f ca="1">OFFSET('Introducerea datelor'!$G$115,12,RIGHT('Introducerea datelor'!$C$16,LEN('Introducerea datelor'!$C$16)-1),1,1)</f>
        <v>976</v>
      </c>
      <c r="G25" s="821">
        <f ca="1">+IF(ISERROR(F25/E25),0,F25/E25)</f>
        <v>1.3369863013698631</v>
      </c>
      <c r="H25" s="822"/>
      <c r="I25" s="822"/>
      <c r="J25" s="822"/>
      <c r="K25" s="823"/>
      <c r="L25" s="820" t="s">
        <v>487</v>
      </c>
      <c r="M25" s="820"/>
      <c r="N25" s="820"/>
      <c r="O25" s="820"/>
      <c r="P25" s="820"/>
      <c r="Q25" s="820"/>
      <c r="S25" s="68"/>
      <c r="T25" s="66"/>
      <c r="U25" s="66"/>
      <c r="V25" s="66"/>
      <c r="W25" s="66"/>
      <c r="X25" s="66"/>
      <c r="Y25" s="70"/>
      <c r="Z25" s="70"/>
      <c r="AA25" s="70"/>
      <c r="AB25" s="70"/>
      <c r="AC25" s="70"/>
      <c r="AD25" s="70"/>
      <c r="AE25" s="70"/>
      <c r="AF25" s="70"/>
      <c r="AG25" s="70"/>
      <c r="AH25" s="70"/>
      <c r="AI25" s="70"/>
    </row>
    <row r="26" spans="1:35" ht="203.25" customHeight="1">
      <c r="A26" s="398" t="s">
        <v>443</v>
      </c>
      <c r="B26" s="829" t="str">
        <f>+'Introducerea datelor'!B128</f>
        <v xml:space="preserve">Rezultatul interimar de abandon al tratamentului cazurilor MDR-TB: numărul și procentul pacienţilor cu tuberculoză drog-rezistentă (RR-TB și/sau MDR-TB) care au întrerupt tratamentul DOTS-Plus către luna a 6 de la demararea acestuia   </v>
      </c>
      <c r="C26" s="829"/>
      <c r="D26" s="829"/>
      <c r="E26" s="407">
        <f ca="1">OFFSET('Introducerea datelor'!$G$115,13,RIGHT('Introducerea datelor'!$C$16,LEN('Introducerea datelor'!$C$16)-1),1,1)</f>
        <v>5.4</v>
      </c>
      <c r="F26" s="408">
        <f ca="1">OFFSET('Introducerea datelor'!$G$115,14,RIGHT('Introducerea datelor'!$C$16,LEN('Introducerea datelor'!$C$16)-1),1,1)</f>
        <v>9.9</v>
      </c>
      <c r="G26" s="821">
        <f ca="1">+IF(ISERROR(F26/E26),0,E26/F26)</f>
        <v>0.54545454545454553</v>
      </c>
      <c r="H26" s="822"/>
      <c r="I26" s="822"/>
      <c r="J26" s="822"/>
      <c r="K26" s="823"/>
      <c r="L26" s="819" t="s">
        <v>488</v>
      </c>
      <c r="M26" s="820"/>
      <c r="N26" s="820"/>
      <c r="O26" s="820"/>
      <c r="P26" s="820"/>
      <c r="Q26" s="820"/>
      <c r="S26" s="68"/>
      <c r="T26" s="66" t="e">
        <f>IF($K24&gt;T$19,IF($K24&lt;=T$20,$K24,NA()),NA())</f>
        <v>#N/A</v>
      </c>
      <c r="U26" s="66" t="e">
        <f>IF($K24&gt;U$19,IF($K24&lt;=U$20,$K24,NA()),NA())</f>
        <v>#N/A</v>
      </c>
      <c r="V26" s="66" t="e">
        <f>IF($K24&gt;V$19,IF($K24&lt;=V$20,$K24,NA()),NA())</f>
        <v>#N/A</v>
      </c>
      <c r="W26" s="66" t="e">
        <f>IF($K24&gt;W$19,IF($K24&lt;=W$20,$K24,NA()),NA())</f>
        <v>#N/A</v>
      </c>
      <c r="X26" s="66" t="e">
        <f>IF($K24&gt;X$19,IF($K24&lt;=X$20,1,NA()),NA())</f>
        <v>#N/A</v>
      </c>
      <c r="Y26" s="70"/>
      <c r="Z26" s="70"/>
      <c r="AA26" s="70"/>
      <c r="AB26" s="70"/>
      <c r="AC26" s="70"/>
      <c r="AD26" s="70"/>
      <c r="AE26" s="70"/>
      <c r="AF26" s="70"/>
      <c r="AG26" s="70"/>
      <c r="AH26" s="70"/>
      <c r="AI26" s="70"/>
    </row>
    <row r="27" spans="1:35" ht="22.5" customHeight="1">
      <c r="A27" s="363"/>
      <c r="B27" s="835"/>
      <c r="C27" s="835"/>
      <c r="D27" s="835"/>
      <c r="E27" s="835"/>
      <c r="F27" s="834"/>
      <c r="G27" s="834"/>
      <c r="H27" s="834"/>
      <c r="I27" s="834"/>
      <c r="J27" s="834"/>
      <c r="K27" s="834"/>
      <c r="L27" s="846"/>
      <c r="M27" s="846"/>
      <c r="N27" s="846"/>
      <c r="O27" s="846"/>
      <c r="P27" s="846"/>
      <c r="Q27" s="446"/>
      <c r="S27" s="68"/>
      <c r="T27" s="66" t="e">
        <f>IF(#REF!&gt;T$19,IF(#REF!&lt;=T$20,#REF!,NA()),NA())</f>
        <v>#REF!</v>
      </c>
      <c r="U27" s="66" t="e">
        <f>IF(#REF!&gt;U$19,IF(#REF!&lt;=U$20,#REF!,NA()),NA())</f>
        <v>#REF!</v>
      </c>
      <c r="V27" s="66" t="e">
        <f>IF(#REF!&gt;V$19,IF(#REF!&lt;=V$20,#REF!,NA()),NA())</f>
        <v>#REF!</v>
      </c>
      <c r="W27" s="66" t="e">
        <f>IF(#REF!&gt;W$19,IF(#REF!&lt;=W$20,#REF!,NA()),NA())</f>
        <v>#REF!</v>
      </c>
      <c r="X27" s="66" t="e">
        <f>IF(#REF!&gt;X$19,IF(#REF!&lt;=X$20,1,NA()),NA())</f>
        <v>#REF!</v>
      </c>
      <c r="Y27" s="70"/>
      <c r="Z27" s="70"/>
      <c r="AA27" s="70"/>
      <c r="AB27" s="70"/>
      <c r="AC27" s="70"/>
      <c r="AD27" s="70"/>
      <c r="AE27" s="70"/>
      <c r="AF27" s="70"/>
      <c r="AG27" s="70"/>
      <c r="AH27" s="70"/>
      <c r="AI27" s="70"/>
    </row>
    <row r="28" spans="1:35" ht="22.5" customHeight="1">
      <c r="A28" s="363"/>
      <c r="B28" s="830"/>
      <c r="C28" s="830"/>
      <c r="D28" s="830"/>
      <c r="E28" s="831"/>
      <c r="F28" s="832"/>
      <c r="G28" s="833"/>
      <c r="H28" s="833"/>
      <c r="I28" s="833"/>
      <c r="J28" s="833"/>
      <c r="K28" s="831"/>
      <c r="L28" s="832"/>
      <c r="M28" s="833"/>
      <c r="N28" s="833"/>
      <c r="O28" s="833"/>
      <c r="P28" s="833"/>
      <c r="S28" s="68"/>
      <c r="T28" s="66" t="e">
        <f>IF(#REF!&gt;T$19,IF(#REF!&lt;=T$20,#REF!,NA()),NA())</f>
        <v>#REF!</v>
      </c>
      <c r="U28" s="66" t="e">
        <f>IF(#REF!&gt;U$19,IF(#REF!&lt;=U$20,#REF!,NA()),NA())</f>
        <v>#REF!</v>
      </c>
      <c r="V28" s="66" t="e">
        <f>IF(#REF!&gt;V$19,IF(#REF!&lt;=V$20,#REF!,NA()),NA())</f>
        <v>#REF!</v>
      </c>
      <c r="W28" s="66" t="e">
        <f>IF(#REF!&gt;W$19,IF(#REF!&lt;=W$20,#REF!,NA()),NA())</f>
        <v>#REF!</v>
      </c>
      <c r="X28" s="66" t="e">
        <f>IF(#REF!&gt;X$19,IF(#REF!&lt;=X$20,1,NA()),NA())</f>
        <v>#REF!</v>
      </c>
      <c r="Y28" s="70"/>
      <c r="Z28" s="70"/>
      <c r="AA28" s="70"/>
      <c r="AB28" s="70"/>
      <c r="AC28" s="70"/>
      <c r="AD28" s="70"/>
      <c r="AE28" s="70"/>
      <c r="AF28" s="70"/>
      <c r="AG28" s="70"/>
      <c r="AH28" s="70"/>
      <c r="AI28" s="70"/>
    </row>
    <row r="29" spans="1:35">
      <c r="A29" s="363"/>
      <c r="B29" s="186"/>
      <c r="C29" s="186"/>
      <c r="D29" s="186"/>
      <c r="E29" s="367"/>
      <c r="F29" s="367"/>
      <c r="G29" s="186"/>
      <c r="H29" s="187"/>
      <c r="I29" s="186"/>
      <c r="J29" s="186"/>
      <c r="K29" s="186"/>
      <c r="L29" s="186"/>
      <c r="M29" s="186"/>
      <c r="N29" s="186"/>
      <c r="O29" s="186"/>
      <c r="P29" s="186"/>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c r="A30" s="363"/>
      <c r="B30" s="828"/>
      <c r="C30" s="828"/>
      <c r="D30" s="828"/>
      <c r="E30" s="828"/>
      <c r="F30" s="828"/>
      <c r="G30" s="828"/>
      <c r="H30" s="828"/>
      <c r="I30" s="828"/>
      <c r="J30" s="828"/>
      <c r="K30" s="828"/>
      <c r="L30" s="186"/>
      <c r="M30" s="186"/>
      <c r="N30" s="186"/>
      <c r="O30" s="186"/>
      <c r="P30" s="186"/>
      <c r="S30" s="68"/>
      <c r="T30" s="66" t="e">
        <f t="shared" si="0"/>
        <v>#N/A</v>
      </c>
      <c r="U30" s="66" t="e">
        <f t="shared" si="0"/>
        <v>#N/A</v>
      </c>
      <c r="V30" s="66" t="e">
        <f t="shared" si="0"/>
        <v>#N/A</v>
      </c>
      <c r="W30" s="66" t="e">
        <f t="shared" si="0"/>
        <v>#N/A</v>
      </c>
      <c r="X30" s="66" t="e">
        <f t="shared" si="2"/>
        <v>#N/A</v>
      </c>
      <c r="Y30" s="70"/>
      <c r="Z30" s="70"/>
      <c r="AA30" s="70"/>
      <c r="AB30" s="70"/>
      <c r="AC30" s="70"/>
      <c r="AD30" s="70"/>
      <c r="AE30" s="70"/>
      <c r="AF30" s="70"/>
      <c r="AG30" s="70"/>
      <c r="AH30" s="70"/>
      <c r="AI30" s="70"/>
    </row>
    <row r="31" spans="1:35">
      <c r="A31" s="363"/>
      <c r="B31" s="828"/>
      <c r="C31" s="828"/>
      <c r="D31" s="828"/>
      <c r="E31" s="828"/>
      <c r="F31" s="828"/>
      <c r="G31" s="828"/>
      <c r="H31" s="828"/>
      <c r="I31" s="828"/>
      <c r="J31" s="828"/>
      <c r="K31" s="828"/>
      <c r="L31" s="186"/>
      <c r="M31" s="186"/>
      <c r="N31" s="186"/>
      <c r="O31" s="186"/>
      <c r="P31" s="186"/>
      <c r="S31" s="70"/>
      <c r="T31" s="70"/>
      <c r="U31" s="70"/>
      <c r="V31" s="70"/>
      <c r="W31" s="70"/>
      <c r="X31" s="70"/>
      <c r="Y31" s="70"/>
      <c r="Z31" s="70"/>
      <c r="AA31" s="70"/>
      <c r="AB31" s="70"/>
      <c r="AC31" s="70"/>
      <c r="AD31" s="70"/>
      <c r="AE31" s="70"/>
      <c r="AF31" s="70"/>
      <c r="AG31" s="70"/>
      <c r="AH31" s="70"/>
      <c r="AI31" s="70"/>
    </row>
    <row r="32" spans="1:35">
      <c r="A32" s="363"/>
      <c r="B32" s="3"/>
      <c r="C32" s="3"/>
      <c r="D32" s="3"/>
      <c r="E32" s="366"/>
      <c r="F32" s="366"/>
      <c r="G32" s="3"/>
      <c r="H32" s="3"/>
      <c r="I32" s="98"/>
      <c r="J32" s="98"/>
      <c r="K32" s="98"/>
      <c r="L32" s="3"/>
      <c r="M32" s="3"/>
      <c r="N32" s="3"/>
      <c r="O32" s="3"/>
      <c r="P32" s="3"/>
      <c r="S32" s="70"/>
      <c r="T32" s="70"/>
      <c r="U32" s="70"/>
      <c r="V32" s="70"/>
      <c r="W32" s="70"/>
      <c r="X32" s="70"/>
      <c r="Y32" s="70"/>
      <c r="Z32" s="70"/>
      <c r="AA32" s="70"/>
      <c r="AB32" s="70"/>
      <c r="AC32" s="70"/>
      <c r="AD32" s="70"/>
      <c r="AE32" s="70"/>
      <c r="AF32" s="70"/>
      <c r="AG32" s="70"/>
      <c r="AH32" s="70"/>
      <c r="AI32" s="70"/>
    </row>
    <row r="33" spans="1:35">
      <c r="A33" s="363"/>
      <c r="B33" s="3"/>
      <c r="C33" s="3"/>
      <c r="D33" s="3"/>
      <c r="E33" s="366"/>
      <c r="F33" s="366"/>
      <c r="G33" s="3"/>
      <c r="H33" s="3"/>
      <c r="I33" s="138"/>
      <c r="J33" s="139"/>
      <c r="K33" s="139"/>
      <c r="L33" s="3"/>
      <c r="M33" s="3"/>
      <c r="N33" s="3"/>
      <c r="O33" s="3"/>
      <c r="P33" s="3"/>
      <c r="S33" s="70"/>
      <c r="T33" s="70"/>
      <c r="U33" s="70"/>
      <c r="V33" s="70"/>
      <c r="W33" s="70"/>
      <c r="X33" s="70"/>
      <c r="Y33" s="70"/>
      <c r="Z33" s="70"/>
      <c r="AA33" s="70"/>
      <c r="AB33" s="70"/>
      <c r="AC33" s="70"/>
      <c r="AD33" s="70"/>
      <c r="AE33" s="70"/>
      <c r="AF33" s="70"/>
      <c r="AG33" s="70"/>
      <c r="AH33" s="70"/>
      <c r="AI33" s="70"/>
    </row>
    <row r="34" spans="1:35">
      <c r="A34" s="363"/>
      <c r="B34" s="3"/>
      <c r="C34" s="3"/>
      <c r="D34" s="3"/>
      <c r="E34" s="366"/>
      <c r="F34" s="366"/>
      <c r="G34" s="3"/>
      <c r="H34" s="3"/>
      <c r="I34" s="140"/>
      <c r="J34" s="141"/>
      <c r="K34" s="100"/>
      <c r="L34" s="3"/>
      <c r="M34" s="3"/>
      <c r="N34" s="3"/>
      <c r="O34" s="3"/>
      <c r="P34" s="3"/>
      <c r="S34" s="70"/>
      <c r="T34" s="70"/>
      <c r="U34" s="70"/>
      <c r="V34" s="70"/>
      <c r="W34" s="70"/>
      <c r="X34" s="70"/>
      <c r="Y34" s="70"/>
      <c r="Z34" s="70"/>
      <c r="AA34" s="70"/>
      <c r="AB34" s="70"/>
      <c r="AC34" s="70"/>
      <c r="AD34" s="70"/>
      <c r="AE34" s="70"/>
      <c r="AF34" s="70"/>
      <c r="AG34" s="70"/>
      <c r="AH34" s="70"/>
      <c r="AI34" s="70"/>
    </row>
    <row r="35" spans="1:35">
      <c r="A35" s="363"/>
      <c r="B35" s="3"/>
      <c r="C35" s="3"/>
      <c r="D35" s="3"/>
      <c r="E35" s="366"/>
      <c r="F35" s="366"/>
      <c r="G35" s="3"/>
      <c r="H35" s="3"/>
      <c r="I35" s="142"/>
      <c r="J35" s="141"/>
      <c r="K35" s="100"/>
      <c r="L35" s="3"/>
      <c r="M35" s="3"/>
      <c r="N35" s="3"/>
      <c r="O35" s="3"/>
      <c r="P35" s="3"/>
      <c r="S35" s="70"/>
      <c r="T35" s="70"/>
      <c r="U35" s="70"/>
      <c r="V35" s="70"/>
      <c r="W35" s="70"/>
      <c r="X35" s="70"/>
      <c r="Y35" s="70"/>
      <c r="Z35" s="70"/>
      <c r="AA35" s="70"/>
      <c r="AB35" s="70"/>
      <c r="AC35" s="70"/>
      <c r="AD35" s="70"/>
      <c r="AE35" s="70"/>
      <c r="AF35" s="70"/>
      <c r="AG35" s="70"/>
      <c r="AH35" s="70"/>
      <c r="AI35" s="70"/>
    </row>
    <row r="36" spans="1:35">
      <c r="A36" s="363"/>
      <c r="B36" s="3"/>
      <c r="C36" s="3"/>
      <c r="D36" s="3"/>
      <c r="E36" s="366"/>
      <c r="F36" s="366"/>
      <c r="G36" s="3"/>
      <c r="H36" s="3"/>
      <c r="I36" s="140"/>
      <c r="J36" s="141"/>
      <c r="K36" s="100"/>
      <c r="L36" s="3"/>
      <c r="M36" s="3"/>
      <c r="N36" s="3"/>
      <c r="O36" s="3"/>
      <c r="P36" s="3"/>
      <c r="S36" s="70"/>
      <c r="T36" s="70"/>
      <c r="U36" s="70"/>
      <c r="V36" s="70"/>
      <c r="W36" s="70"/>
      <c r="X36" s="70"/>
      <c r="Y36" s="70"/>
      <c r="Z36" s="70"/>
      <c r="AA36" s="70"/>
      <c r="AB36" s="70"/>
      <c r="AC36" s="70"/>
      <c r="AD36" s="70"/>
      <c r="AE36" s="70"/>
      <c r="AF36" s="70"/>
      <c r="AG36" s="70"/>
      <c r="AH36" s="70"/>
      <c r="AI36" s="70"/>
    </row>
    <row r="37" spans="1:35">
      <c r="A37" s="363"/>
      <c r="B37" s="3"/>
      <c r="C37" s="3"/>
      <c r="D37" s="3"/>
      <c r="E37" s="366"/>
      <c r="F37" s="366"/>
      <c r="G37" s="3"/>
      <c r="H37" s="3"/>
      <c r="I37" s="3"/>
      <c r="J37" s="3"/>
      <c r="K37" s="3"/>
      <c r="L37" s="3"/>
      <c r="M37" s="3"/>
      <c r="N37" s="3"/>
      <c r="O37" s="3"/>
      <c r="P37" s="3"/>
      <c r="S37" s="70"/>
      <c r="T37" s="70"/>
      <c r="U37" s="70"/>
      <c r="V37" s="70"/>
      <c r="W37" s="70"/>
      <c r="X37" s="70"/>
      <c r="Y37" s="70"/>
      <c r="Z37" s="70"/>
      <c r="AA37" s="70"/>
      <c r="AB37" s="70"/>
      <c r="AC37" s="70"/>
      <c r="AD37" s="70"/>
      <c r="AE37" s="70"/>
      <c r="AF37" s="70"/>
      <c r="AG37" s="70"/>
      <c r="AH37" s="70"/>
      <c r="AI37" s="70"/>
    </row>
    <row r="38" spans="1:35">
      <c r="A38" s="363"/>
      <c r="B38" s="3"/>
      <c r="C38" s="3"/>
      <c r="D38" s="3"/>
      <c r="E38" s="366"/>
      <c r="F38" s="366"/>
      <c r="G38" s="3"/>
      <c r="H38" s="3"/>
      <c r="I38" s="3"/>
      <c r="J38" s="3"/>
      <c r="K38" s="3"/>
      <c r="L38" s="3"/>
      <c r="M38" s="3"/>
      <c r="N38" s="3"/>
      <c r="O38" s="3"/>
      <c r="P38" s="3"/>
      <c r="S38" s="70"/>
      <c r="T38" s="70"/>
      <c r="U38" s="70"/>
      <c r="V38" s="70"/>
      <c r="W38" s="70"/>
      <c r="X38" s="70"/>
      <c r="Y38" s="70"/>
      <c r="Z38" s="70"/>
      <c r="AA38" s="70"/>
      <c r="AB38" s="70"/>
      <c r="AC38" s="70"/>
      <c r="AD38" s="70"/>
      <c r="AE38" s="70"/>
      <c r="AF38" s="70"/>
      <c r="AG38" s="70"/>
      <c r="AH38" s="70"/>
      <c r="AI38" s="70"/>
    </row>
    <row r="39" spans="1:35">
      <c r="A39" s="363"/>
      <c r="B39" s="3"/>
      <c r="C39" s="3"/>
      <c r="D39" s="3"/>
      <c r="E39" s="366"/>
      <c r="F39" s="366"/>
      <c r="G39" s="3"/>
      <c r="H39" s="3"/>
      <c r="I39" s="3"/>
      <c r="J39" s="3"/>
      <c r="K39" s="3"/>
      <c r="L39" s="3"/>
      <c r="M39" s="3"/>
      <c r="N39" s="3"/>
      <c r="O39" s="3"/>
      <c r="P39" s="3"/>
      <c r="S39" s="63"/>
      <c r="T39" s="63"/>
      <c r="U39" s="63"/>
      <c r="V39" s="63"/>
      <c r="W39" s="63"/>
      <c r="X39" s="63"/>
      <c r="Y39" s="63"/>
      <c r="Z39" s="63"/>
      <c r="AA39" s="63"/>
      <c r="AB39" s="63"/>
    </row>
    <row r="40" spans="1:35">
      <c r="S40" s="63"/>
      <c r="T40" s="63"/>
      <c r="U40" s="63"/>
      <c r="V40" s="63"/>
      <c r="W40" s="63"/>
      <c r="X40" s="63"/>
      <c r="Y40" s="63"/>
      <c r="Z40" s="63"/>
      <c r="AA40" s="63"/>
      <c r="AB40" s="63"/>
    </row>
    <row r="41" spans="1:35">
      <c r="S41" s="63"/>
      <c r="T41" s="63"/>
      <c r="U41" s="63"/>
      <c r="V41" s="63"/>
      <c r="W41" s="63"/>
      <c r="X41" s="63"/>
      <c r="Y41" s="63"/>
      <c r="Z41" s="63"/>
      <c r="AA41" s="63"/>
      <c r="AB41" s="63"/>
    </row>
    <row r="42" spans="1:35">
      <c r="S42" s="63"/>
      <c r="T42" s="63"/>
      <c r="U42" s="63"/>
      <c r="V42" s="63"/>
      <c r="W42" s="63"/>
      <c r="X42" s="63"/>
      <c r="Y42" s="63"/>
      <c r="Z42" s="63"/>
      <c r="AA42" s="63"/>
      <c r="AB42" s="63"/>
    </row>
    <row r="43" spans="1:35">
      <c r="S43" s="63"/>
      <c r="T43" s="63"/>
      <c r="U43" s="63"/>
      <c r="V43" s="63"/>
      <c r="W43" s="63"/>
      <c r="X43" s="63"/>
      <c r="Y43" s="63"/>
      <c r="Z43" s="63"/>
      <c r="AA43" s="63"/>
      <c r="AB43" s="63"/>
    </row>
  </sheetData>
  <mergeCells count="49">
    <mergeCell ref="B22:D22"/>
    <mergeCell ref="G21:K21"/>
    <mergeCell ref="B21:D21"/>
    <mergeCell ref="M9:Q9"/>
    <mergeCell ref="C3:D3"/>
    <mergeCell ref="E4:L4"/>
    <mergeCell ref="N3:P3"/>
    <mergeCell ref="M8:Q8"/>
    <mergeCell ref="G8:K8"/>
    <mergeCell ref="C8:E8"/>
    <mergeCell ref="C9:E9"/>
    <mergeCell ref="G9:K9"/>
    <mergeCell ref="E18:K18"/>
    <mergeCell ref="B19:D19"/>
    <mergeCell ref="B20:D20"/>
    <mergeCell ref="G20:K20"/>
    <mergeCell ref="L28:P28"/>
    <mergeCell ref="L20:Q20"/>
    <mergeCell ref="L21:Q21"/>
    <mergeCell ref="L22:Q22"/>
    <mergeCell ref="L27:P27"/>
    <mergeCell ref="L23:Q23"/>
    <mergeCell ref="L24:Q24"/>
    <mergeCell ref="B30:D31"/>
    <mergeCell ref="E30:G31"/>
    <mergeCell ref="H30:K31"/>
    <mergeCell ref="B23:D23"/>
    <mergeCell ref="B24:D24"/>
    <mergeCell ref="B28:E28"/>
    <mergeCell ref="F28:K28"/>
    <mergeCell ref="G23:K23"/>
    <mergeCell ref="F27:K27"/>
    <mergeCell ref="G24:K24"/>
    <mergeCell ref="G26:K26"/>
    <mergeCell ref="B27:E27"/>
    <mergeCell ref="G25:K25"/>
    <mergeCell ref="B25:D25"/>
    <mergeCell ref="B26:D26"/>
    <mergeCell ref="L19:Q19"/>
    <mergeCell ref="L26:Q26"/>
    <mergeCell ref="G22:K22"/>
    <mergeCell ref="G19:H19"/>
    <mergeCell ref="I19:J19"/>
    <mergeCell ref="L25:Q25"/>
    <mergeCell ref="B2:Q2"/>
    <mergeCell ref="D5:N5"/>
    <mergeCell ref="F6:K6"/>
    <mergeCell ref="E3:K3"/>
    <mergeCell ref="C4:D4"/>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6">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256" scale="55" fitToHeight="0" orientation="portrait" r:id="rId1"/>
  <headerFooter alignWithMargins="0">
    <oddFooter>&amp;L&amp;F&amp;C&amp;A&amp;RV1.0          &amp;D</oddFooter>
  </headerFooter>
  <rowBreaks count="1" manualBreakCount="1">
    <brk id="26"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zoomScale="75" zoomScaleNormal="90" zoomScaleSheetLayoutView="75" workbookViewId="0">
      <selection activeCell="U12" sqref="U12"/>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4"/>
      <c r="B1" s="144"/>
      <c r="C1" s="144"/>
      <c r="D1" s="144"/>
      <c r="E1" s="144"/>
      <c r="F1" s="144"/>
      <c r="G1" s="144"/>
      <c r="H1" s="144"/>
      <c r="I1" s="144"/>
      <c r="J1" s="144"/>
      <c r="K1" s="145"/>
      <c r="L1" s="144"/>
      <c r="M1" s="144"/>
      <c r="N1" s="144"/>
    </row>
    <row r="2" spans="1:15" customFormat="1" ht="27.75" customHeight="1">
      <c r="A2" s="3"/>
      <c r="B2" s="812" t="str">
        <f>+"Tabel Programatic de evaluare:  "&amp;"  "&amp;IF(+'Introducerea datelor'!C4="Please Select","",'Introducerea datelor'!C4&amp;" - ")&amp;IF('Introducerea datelor'!G6="Please Select","",'Introducerea datelor'!G6)</f>
        <v>Tabel Programatic de evaluare:    Moldova - TB</v>
      </c>
      <c r="C2" s="812"/>
      <c r="D2" s="812"/>
      <c r="E2" s="812"/>
      <c r="F2" s="812"/>
      <c r="G2" s="812"/>
      <c r="H2" s="812"/>
      <c r="I2" s="812"/>
      <c r="J2" s="812"/>
      <c r="K2" s="812"/>
      <c r="L2" s="812"/>
      <c r="M2" s="812"/>
      <c r="N2" s="812"/>
      <c r="O2" s="72"/>
    </row>
    <row r="3" spans="1:15" customFormat="1" ht="18.75">
      <c r="A3" s="3"/>
      <c r="B3" s="127" t="str">
        <f>+IF('Introducerea datelor'!G8="Please Select","",'Introducerea datelor'!G8)</f>
        <v/>
      </c>
      <c r="C3" s="791" t="str">
        <f>+IF('Introducerea datelor'!I8="Please Select","",'Introducerea datelor'!I8)</f>
        <v>Period 1</v>
      </c>
      <c r="D3" s="791"/>
      <c r="E3" s="352"/>
      <c r="F3" s="352"/>
      <c r="G3" s="352"/>
      <c r="H3" s="352"/>
      <c r="I3" s="352"/>
      <c r="J3" s="352"/>
      <c r="K3" s="352"/>
      <c r="L3" s="127" t="str">
        <f>+'Introducerea datelor'!B16</f>
        <v>Perioada de Raportare:</v>
      </c>
      <c r="M3" s="160" t="str">
        <f>+'Introducerea datelor'!C16</f>
        <v>P5</v>
      </c>
      <c r="N3" s="160"/>
      <c r="O3" s="30"/>
    </row>
    <row r="4" spans="1:15" customFormat="1" ht="15">
      <c r="A4" s="3"/>
      <c r="B4" s="127" t="str">
        <f>+'Introducerea datelor'!B12</f>
        <v>Ultimul Rating:</v>
      </c>
      <c r="C4" s="815" t="str">
        <f>+IF('Introducerea datelor'!C12="Please Select","",'Introducerea datelor'!C12)</f>
        <v>A2</v>
      </c>
      <c r="D4" s="815"/>
      <c r="E4" s="790" t="str">
        <f>+'Introducerea datelor'!C8</f>
        <v>IP UCIMP DS</v>
      </c>
      <c r="F4" s="790"/>
      <c r="G4" s="790"/>
      <c r="H4" s="790"/>
      <c r="I4" s="790"/>
      <c r="J4" s="790"/>
      <c r="K4" s="790"/>
      <c r="L4" s="127" t="str">
        <f>+'Introducerea datelor'!D16</f>
        <v>De la:</v>
      </c>
      <c r="M4" s="161">
        <f>+IF(ISBLANK('Introducerea datelor'!E16),"",'Introducerea datelor'!E16)</f>
        <v>42917</v>
      </c>
      <c r="N4" s="161"/>
      <c r="O4" s="30"/>
    </row>
    <row r="5" spans="1:15" customFormat="1" ht="18.75" customHeight="1">
      <c r="A5" s="3"/>
      <c r="B5" s="127"/>
      <c r="C5" s="127"/>
      <c r="D5" s="128"/>
      <c r="E5" s="790" t="str">
        <f>+'Introducerea datelor'!G4</f>
        <v>Consolidarea controlului Tuberculozei în Republica Moldova</v>
      </c>
      <c r="F5" s="790"/>
      <c r="G5" s="790"/>
      <c r="H5" s="790"/>
      <c r="I5" s="790"/>
      <c r="J5" s="790"/>
      <c r="K5" s="790"/>
      <c r="L5" s="127" t="str">
        <f>+'Introducerea datelor'!F16</f>
        <v>Pînă la:</v>
      </c>
      <c r="M5" s="161">
        <f>+IF(ISBLANK('Introducerea datelor'!G16),"",'Introducerea datelor'!G16)</f>
        <v>43100</v>
      </c>
      <c r="N5" s="161"/>
    </row>
    <row r="6" spans="1:15" customFormat="1" ht="22.5" customHeight="1">
      <c r="A6" s="3"/>
      <c r="B6" s="132"/>
      <c r="C6" s="133"/>
      <c r="D6" s="134"/>
      <c r="E6" s="887" t="s">
        <v>394</v>
      </c>
      <c r="F6" s="887"/>
      <c r="G6" s="887"/>
      <c r="H6" s="887"/>
      <c r="I6" s="887"/>
      <c r="J6" s="887"/>
      <c r="K6" s="887"/>
      <c r="L6" s="2"/>
      <c r="M6" s="2"/>
      <c r="N6" s="2"/>
    </row>
    <row r="7" spans="1:15" s="32" customFormat="1" ht="4.5" customHeight="1">
      <c r="A7" s="146"/>
      <c r="B7" s="147"/>
      <c r="C7" s="147"/>
      <c r="D7" s="147"/>
      <c r="E7" s="147"/>
      <c r="F7" s="147"/>
      <c r="G7" s="147"/>
      <c r="H7" s="147"/>
      <c r="I7" s="147"/>
      <c r="J7" s="147"/>
      <c r="K7" s="147"/>
      <c r="L7" s="148"/>
      <c r="M7" s="148"/>
      <c r="N7" s="149"/>
    </row>
    <row r="8" spans="1:15" s="32" customFormat="1" ht="21" customHeight="1" thickBot="1">
      <c r="A8" s="146"/>
      <c r="B8" s="886" t="s">
        <v>400</v>
      </c>
      <c r="C8" s="886"/>
      <c r="D8" s="886"/>
      <c r="E8" s="886"/>
      <c r="F8" s="886"/>
      <c r="G8" s="886"/>
      <c r="H8" s="886"/>
      <c r="I8" s="886"/>
      <c r="J8" s="886"/>
      <c r="K8" s="886"/>
      <c r="L8" s="886"/>
      <c r="M8" s="886"/>
      <c r="N8" s="886"/>
    </row>
    <row r="9" spans="1:15" s="32" customFormat="1" ht="3.75" customHeight="1" thickBot="1">
      <c r="A9" s="146"/>
      <c r="B9" s="147"/>
      <c r="C9" s="147"/>
      <c r="D9" s="147"/>
      <c r="E9" s="147"/>
      <c r="F9" s="147"/>
      <c r="G9" s="147"/>
      <c r="H9" s="147"/>
      <c r="I9" s="147"/>
      <c r="J9" s="147"/>
      <c r="K9" s="147"/>
      <c r="L9" s="148"/>
      <c r="M9" s="148"/>
      <c r="N9" s="149"/>
    </row>
    <row r="10" spans="1:15" s="33" customFormat="1" ht="25.5" customHeight="1" thickBot="1">
      <c r="A10" s="150"/>
      <c r="B10" s="863" t="s">
        <v>395</v>
      </c>
      <c r="C10" s="864"/>
      <c r="D10" s="865" t="s">
        <v>396</v>
      </c>
      <c r="E10" s="866"/>
      <c r="F10" s="866"/>
      <c r="G10" s="867"/>
      <c r="H10" s="151"/>
      <c r="I10" s="865" t="s">
        <v>394</v>
      </c>
      <c r="J10" s="866"/>
      <c r="K10" s="866"/>
      <c r="L10" s="866"/>
      <c r="M10" s="866"/>
      <c r="N10" s="867"/>
    </row>
    <row r="11" spans="1:15" s="33" customFormat="1" ht="37.5" customHeight="1">
      <c r="A11" s="150"/>
      <c r="B11" s="372" t="s">
        <v>58</v>
      </c>
      <c r="C11" s="373"/>
      <c r="D11" s="876" t="str">
        <f>IF(ISBLANK(Financiar!C9),"",(Financiar!C9))</f>
        <v>Catre 31 decembrie 2017, au fost debursați 7 919 803,5 EURO, inclusiv 2 578 990,5 EURO în perioada raportată.</v>
      </c>
      <c r="E11" s="876"/>
      <c r="F11" s="876"/>
      <c r="G11" s="877"/>
      <c r="H11" s="447"/>
      <c r="I11" s="868"/>
      <c r="J11" s="869"/>
      <c r="K11" s="869"/>
      <c r="L11" s="869"/>
      <c r="M11" s="869"/>
      <c r="N11" s="870"/>
    </row>
    <row r="12" spans="1:15" s="33" customFormat="1" ht="252.75" customHeight="1">
      <c r="A12" s="150"/>
      <c r="B12" s="376" t="s">
        <v>59</v>
      </c>
      <c r="C12" s="377"/>
      <c r="D12" s="871" t="str">
        <f>IF(ISBLANK(Financiar!C23),"",(Financiar!C23))</f>
        <v xml:space="preserve">Cumulativ pentru înreaga perioadă de realizare a Grantului, în 
cadrul activităților din Obiectivul I, au fost valorificati 2935430,52 EUR față de 2935430,52 EUR bugetați (93,7%).
În cadrul activităților din Obiectivul II, au fost valorificati 4026738,65 EUR față de 4305987,92 EUR bugetați (93,5%).
În cadrul activităților din Obiectivul V, au fost valorificati 229938,58 EUR față de 276154,04 EUR bugetați (83,6%).
În cadrul activităților Managementului Proiectului, au fost valorificati 447510,94 EUR față de 441257,60 EUR bugetați (101,4%). 
</v>
      </c>
      <c r="E12" s="871"/>
      <c r="F12" s="871"/>
      <c r="G12" s="872"/>
      <c r="H12" s="447"/>
      <c r="I12" s="868"/>
      <c r="J12" s="869"/>
      <c r="K12" s="869"/>
      <c r="L12" s="869"/>
      <c r="M12" s="869"/>
      <c r="N12" s="870"/>
    </row>
    <row r="13" spans="1:15" s="33" customFormat="1" ht="271.5" customHeight="1">
      <c r="A13" s="150"/>
      <c r="B13" s="376" t="s">
        <v>60</v>
      </c>
      <c r="C13" s="377"/>
      <c r="D13" s="871" t="str">
        <f>IF(ISBLANK(Financiar!I9),"",(Financiar!I9))</f>
        <v>Cheltuielile și debursările Recipientului Principal pentru perioada raportată au constituit 2.758.833,41 EURO. Cumulativ, pentru întreaga perioadă de realizare a Grantului, au fost cheltuiți 7.482.136,43 EURO față de 7.957.827,08 EURO bugetați, ceea ce constituie 94%. Variația înregistrată se datorează: în mare parte, prețurilor și cantităților mai mici pentru medicamentele antituberculoase destinate tratamentului TB MDR și EDR (2.216.790,55 EURO); prețurilor mai mici decât cele bugetate pentru echipamentul de laborator (50.304,45 EURO); cantităților mai mici de consumabile pentru izolarea tulpinilor, culturi lichide și teste de sensibilitate pentru tehnica MGIT (50.354,92 EURO).</v>
      </c>
      <c r="E13" s="871"/>
      <c r="F13" s="871"/>
      <c r="G13" s="872"/>
      <c r="H13" s="447"/>
      <c r="I13" s="868"/>
      <c r="J13" s="869"/>
      <c r="K13" s="869"/>
      <c r="L13" s="869"/>
      <c r="M13" s="869"/>
      <c r="N13" s="870"/>
    </row>
    <row r="14" spans="1:15" s="33" customFormat="1" ht="52.5" customHeight="1" thickBot="1">
      <c r="A14" s="150"/>
      <c r="B14" s="374" t="s">
        <v>61</v>
      </c>
      <c r="C14" s="375"/>
      <c r="D14" s="878" t="str">
        <f>IF(ISBLANK(Financiar!I23),"",(Financiar!I23))</f>
        <v xml:space="preserve">Raportul de progres standard către Secretariatul Fondului Global pentru anul 2016 a fost remis donatorului pentru examinare la 20 martie 2017. </v>
      </c>
      <c r="E14" s="878"/>
      <c r="F14" s="878"/>
      <c r="G14" s="879"/>
      <c r="H14" s="447"/>
      <c r="I14" s="888"/>
      <c r="J14" s="889"/>
      <c r="K14" s="889"/>
      <c r="L14" s="889"/>
      <c r="M14" s="889"/>
      <c r="N14" s="890"/>
    </row>
    <row r="15" spans="1:15" s="33" customFormat="1" ht="4.5" customHeight="1">
      <c r="A15" s="150"/>
      <c r="B15" s="155"/>
      <c r="C15" s="156"/>
      <c r="D15" s="448"/>
      <c r="E15" s="448"/>
      <c r="F15" s="448"/>
      <c r="G15" s="448"/>
      <c r="H15" s="447"/>
      <c r="I15" s="449"/>
      <c r="J15" s="449"/>
      <c r="K15" s="449"/>
      <c r="L15" s="449"/>
      <c r="M15" s="449"/>
      <c r="N15" s="449"/>
      <c r="O15" s="74"/>
    </row>
    <row r="16" spans="1:15" s="32" customFormat="1" ht="21" customHeight="1" thickBot="1">
      <c r="A16" s="146"/>
      <c r="B16" s="886" t="s">
        <v>399</v>
      </c>
      <c r="C16" s="886"/>
      <c r="D16" s="886"/>
      <c r="E16" s="886"/>
      <c r="F16" s="886"/>
      <c r="G16" s="886"/>
      <c r="H16" s="886"/>
      <c r="I16" s="886"/>
      <c r="J16" s="886"/>
      <c r="K16" s="886"/>
      <c r="L16" s="886"/>
      <c r="M16" s="886"/>
      <c r="N16" s="886"/>
    </row>
    <row r="17" spans="1:20" s="33" customFormat="1" ht="3.75" customHeight="1" thickBot="1">
      <c r="A17" s="150"/>
      <c r="B17" s="450"/>
      <c r="C17" s="153"/>
      <c r="D17" s="451"/>
      <c r="E17" s="452"/>
      <c r="F17" s="453"/>
      <c r="G17" s="453"/>
      <c r="H17" s="454"/>
      <c r="I17" s="154"/>
      <c r="J17" s="455"/>
      <c r="K17" s="456"/>
      <c r="L17" s="457"/>
      <c r="M17" s="152"/>
      <c r="N17" s="458"/>
    </row>
    <row r="18" spans="1:20" s="33" customFormat="1" ht="22.5" customHeight="1" thickBot="1">
      <c r="A18" s="150"/>
      <c r="B18" s="861" t="s">
        <v>57</v>
      </c>
      <c r="C18" s="862"/>
      <c r="D18" s="880" t="s">
        <v>396</v>
      </c>
      <c r="E18" s="881"/>
      <c r="F18" s="881"/>
      <c r="G18" s="882"/>
      <c r="H18" s="459"/>
      <c r="I18" s="873" t="s">
        <v>394</v>
      </c>
      <c r="J18" s="874"/>
      <c r="K18" s="874"/>
      <c r="L18" s="874"/>
      <c r="M18" s="875"/>
      <c r="N18" s="875"/>
    </row>
    <row r="19" spans="1:20" s="33" customFormat="1" ht="37.5" customHeight="1">
      <c r="A19" s="150"/>
      <c r="B19" s="378" t="s">
        <v>66</v>
      </c>
      <c r="C19" s="379"/>
      <c r="D19" s="894" t="str">
        <f>IF(ISBLANK(Management!C8),"",(Management!C8))</f>
        <v>Toate cele trei condiții precedente stipulate în Acordul de Grant au fost îndeplinite.</v>
      </c>
      <c r="E19" s="894"/>
      <c r="F19" s="894"/>
      <c r="G19" s="895"/>
      <c r="H19" s="460"/>
      <c r="I19" s="900"/>
      <c r="J19" s="901"/>
      <c r="K19" s="901"/>
      <c r="L19" s="901"/>
      <c r="M19" s="901"/>
      <c r="N19" s="902"/>
    </row>
    <row r="20" spans="1:20" ht="47.25" customHeight="1">
      <c r="A20" s="144"/>
      <c r="B20" s="382" t="s">
        <v>67</v>
      </c>
      <c r="C20" s="383"/>
      <c r="D20" s="871" t="str">
        <f>IF(ISBLANK(Management!I8),"",(Management!I8))</f>
        <v>Toate posturile în cadrul echipei ce gestionează Grantul TB al Noului Mecanism de Finanțare sunt ocupate.</v>
      </c>
      <c r="E20" s="871" t="e">
        <f>+'Introducerea datelor'!D72/'Introducerea datelor'!G72</f>
        <v>#DIV/0!</v>
      </c>
      <c r="F20" s="871" t="e">
        <f>+('Introducerea datelor'!E72+'Introducerea datelor'!F72)/'Introducerea datelor'!G72</f>
        <v>#DIV/0!</v>
      </c>
      <c r="G20" s="896"/>
      <c r="H20" s="460"/>
      <c r="I20" s="891"/>
      <c r="J20" s="892"/>
      <c r="K20" s="892"/>
      <c r="L20" s="892"/>
      <c r="M20" s="892"/>
      <c r="N20" s="893"/>
      <c r="O20" s="34"/>
    </row>
    <row r="21" spans="1:20" ht="90.75" customHeight="1">
      <c r="A21" s="144"/>
      <c r="B21" s="384" t="s">
        <v>68</v>
      </c>
      <c r="C21" s="383"/>
      <c r="D21" s="871" t="str">
        <f>IF(ISBLANK(Management!C16),"",(Management!C16))</f>
        <v>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71"/>
      <c r="F21" s="871"/>
      <c r="G21" s="896"/>
      <c r="H21" s="460"/>
      <c r="I21" s="891"/>
      <c r="J21" s="892"/>
      <c r="K21" s="892"/>
      <c r="L21" s="892"/>
      <c r="M21" s="892"/>
      <c r="N21" s="893"/>
      <c r="O21" s="34"/>
    </row>
    <row r="22" spans="1:20" ht="46.5" customHeight="1">
      <c r="A22" s="144"/>
      <c r="B22" s="384" t="s">
        <v>69</v>
      </c>
      <c r="C22" s="383"/>
      <c r="D22" s="871" t="str">
        <f>IF(ISBLANK(Management!I16),"",(Management!I16))</f>
        <v>În perioada raportată, Sub-Recipientul a prezentat, în conformitate cu Acordul, două rapoarte trimestriale și raportul cumulativ anual pentru 2017.</v>
      </c>
      <c r="E22" s="871"/>
      <c r="F22" s="871"/>
      <c r="G22" s="896"/>
      <c r="H22" s="460"/>
      <c r="I22" s="891"/>
      <c r="J22" s="892"/>
      <c r="K22" s="892"/>
      <c r="L22" s="892"/>
      <c r="M22" s="892"/>
      <c r="N22" s="893"/>
      <c r="O22" s="34"/>
    </row>
    <row r="23" spans="1:20" ht="43.5" customHeight="1">
      <c r="A23" s="144"/>
      <c r="B23" s="384" t="s">
        <v>70</v>
      </c>
      <c r="C23" s="383"/>
      <c r="D23" s="871" t="str">
        <f>IF(ISBLANK(Management!C27),"",(Management!C27))</f>
        <v>RP avea la 31 decembrie 2017 angajamente semnate pentru livrarea medicamentelor in suma de 1 594 928,51 USD.</v>
      </c>
      <c r="E23" s="871"/>
      <c r="F23" s="871"/>
      <c r="G23" s="896"/>
      <c r="H23" s="460"/>
      <c r="I23" s="891"/>
      <c r="J23" s="892"/>
      <c r="K23" s="892"/>
      <c r="L23" s="892"/>
      <c r="M23" s="892"/>
      <c r="N23" s="893"/>
      <c r="O23" s="34"/>
    </row>
    <row r="24" spans="1:20" ht="60" customHeight="1" thickBot="1">
      <c r="A24" s="144"/>
      <c r="B24" s="380" t="s">
        <v>71</v>
      </c>
      <c r="C24" s="381"/>
      <c r="D24" s="884" t="str">
        <f>IF(ISBLANK(Management!I27),"",(Management!I27))</f>
        <v>Evaluarea stocului de medicamente de linia a II și a III, disponibile la nivel central, precum si a livrarilor planificate arata prezența unui stock buffer între 6 și 12 de luni ce previne riscul lipsei de preparate.</v>
      </c>
      <c r="E24" s="884"/>
      <c r="F24" s="884"/>
      <c r="G24" s="885"/>
      <c r="H24" s="460"/>
      <c r="I24" s="903"/>
      <c r="J24" s="904"/>
      <c r="K24" s="904"/>
      <c r="L24" s="904"/>
      <c r="M24" s="904"/>
      <c r="N24" s="905"/>
      <c r="O24" s="34"/>
      <c r="T24" s="424"/>
    </row>
    <row r="25" spans="1:20" ht="4.5" customHeight="1">
      <c r="A25" s="146"/>
      <c r="B25" s="461"/>
      <c r="C25" s="462"/>
      <c r="D25" s="463"/>
      <c r="E25" s="464"/>
      <c r="F25" s="465"/>
      <c r="G25" s="465"/>
      <c r="H25" s="459"/>
      <c r="I25" s="464"/>
      <c r="J25" s="466"/>
      <c r="K25" s="456"/>
      <c r="L25" s="457"/>
      <c r="M25" s="152"/>
      <c r="N25" s="458"/>
      <c r="O25" s="34"/>
    </row>
    <row r="26" spans="1:20" s="32" customFormat="1" ht="21" customHeight="1" thickBot="1">
      <c r="A26" s="146"/>
      <c r="B26" s="886" t="s">
        <v>398</v>
      </c>
      <c r="C26" s="886"/>
      <c r="D26" s="886"/>
      <c r="E26" s="886"/>
      <c r="F26" s="886"/>
      <c r="G26" s="886"/>
      <c r="H26" s="886"/>
      <c r="I26" s="886"/>
      <c r="J26" s="886"/>
      <c r="K26" s="886"/>
      <c r="L26" s="886"/>
      <c r="M26" s="886"/>
      <c r="N26" s="886"/>
      <c r="R26" s="425"/>
    </row>
    <row r="27" spans="1:20" ht="3.75" customHeight="1" thickBot="1">
      <c r="A27" s="146"/>
      <c r="B27" s="461"/>
      <c r="C27" s="462"/>
      <c r="D27" s="463"/>
      <c r="E27" s="464"/>
      <c r="F27" s="465"/>
      <c r="G27" s="465"/>
      <c r="H27" s="459"/>
      <c r="I27" s="464"/>
      <c r="J27" s="466"/>
      <c r="K27" s="456"/>
      <c r="L27" s="457"/>
      <c r="M27" s="152"/>
      <c r="N27" s="458"/>
      <c r="O27" s="34"/>
    </row>
    <row r="28" spans="1:20" ht="21.75" customHeight="1" thickBot="1">
      <c r="A28" s="144"/>
      <c r="B28" s="883" t="s">
        <v>397</v>
      </c>
      <c r="C28" s="862"/>
      <c r="D28" s="897" t="s">
        <v>396</v>
      </c>
      <c r="E28" s="898"/>
      <c r="F28" s="898"/>
      <c r="G28" s="899"/>
      <c r="H28" s="459"/>
      <c r="I28" s="897" t="s">
        <v>394</v>
      </c>
      <c r="J28" s="898"/>
      <c r="K28" s="898"/>
      <c r="L28" s="898"/>
      <c r="M28" s="898"/>
      <c r="N28" s="899"/>
      <c r="O28" s="34"/>
    </row>
    <row r="29" spans="1:20" ht="86.25" hidden="1" customHeight="1">
      <c r="A29" s="144"/>
      <c r="B29" s="467" t="s">
        <v>244</v>
      </c>
      <c r="C29" s="468"/>
      <c r="D29" s="916" t="str">
        <f>IF(ISBLANK(Programatic!C9),"",(Programatic!C9))</f>
        <v xml:space="preserve">Date preliminare pentru anul 2017. 319 persoane au decedat de tuberculoză în anul 2017 (7,9 decese la 100 000 persoane). 
</v>
      </c>
      <c r="E29" s="917"/>
      <c r="F29" s="917"/>
      <c r="G29" s="918"/>
      <c r="H29" s="460"/>
      <c r="I29" s="910"/>
      <c r="J29" s="911"/>
      <c r="K29" s="911"/>
      <c r="L29" s="911"/>
      <c r="M29" s="911"/>
      <c r="N29" s="912"/>
      <c r="O29" s="34"/>
    </row>
    <row r="30" spans="1:20" ht="87" hidden="1" customHeight="1">
      <c r="A30" s="144"/>
      <c r="B30" s="469" t="s">
        <v>245</v>
      </c>
      <c r="C30" s="470"/>
      <c r="D30" s="909" t="str">
        <f>IF(ISBLANK(Programatic!G9),"",(Programatic!G9))</f>
        <v xml:space="preserve">Date preliminare pentru anul 2017. 260 cazuri noi de tuberculoză cu cultura pozitivă, testate la sensibilitate pentru preparatele de linia I, din 1 065 investigate în 2017, au fost diagnosticate cu MDR.
</v>
      </c>
      <c r="E30" s="907"/>
      <c r="F30" s="907"/>
      <c r="G30" s="908"/>
      <c r="H30" s="460"/>
      <c r="I30" s="913"/>
      <c r="J30" s="914"/>
      <c r="K30" s="914"/>
      <c r="L30" s="914"/>
      <c r="M30" s="914"/>
      <c r="N30" s="915"/>
      <c r="O30" s="34"/>
    </row>
    <row r="31" spans="1:20" ht="75" hidden="1" customHeight="1">
      <c r="A31" s="144"/>
      <c r="B31" s="469" t="s">
        <v>246</v>
      </c>
      <c r="C31" s="470"/>
      <c r="D31" s="909" t="str">
        <f>IF(ISBLANK(Programatic!M9),"",(Programatic!M9))</f>
        <v xml:space="preserve">Date preliminare pentru cohorta MDR-TB 2014. 461 cazuri confirmate de TB MDR, din 928 incluse în tratmentul DOTS Plus în anul 2014, au fost tratate cu succes (vindecate și cu tratamente încheiate).                                                                                          
</v>
      </c>
      <c r="E31" s="907"/>
      <c r="F31" s="907"/>
      <c r="G31" s="908"/>
      <c r="H31" s="460"/>
      <c r="I31" s="913"/>
      <c r="J31" s="914"/>
      <c r="K31" s="914"/>
      <c r="L31" s="914"/>
      <c r="M31" s="914"/>
      <c r="N31" s="915"/>
      <c r="O31" s="34"/>
    </row>
    <row r="32" spans="1:20" ht="94.5" customHeight="1">
      <c r="A32" s="144"/>
      <c r="B32" s="471" t="s">
        <v>62</v>
      </c>
      <c r="C32" s="470"/>
      <c r="D32" s="906" t="str">
        <f>IF(ISBLANK(Programatic!L20),"",(Programatic!L20))</f>
        <v xml:space="preserve">Date preliminare pentru anul 2017. 319 persoane au decedat de tuberculoză în anul 2017 (7,9 decese la 100 000 persoane). 
Notă - Ținta a fost atinsă. Se constată o micșorare cu 14,2% a ratei de mortalitate față de datele anului 2016 (372 cazuri de deces cauzate de tuberculoză), cu 21,8% a ratei de mortalitate față de datele anului 2015 (408 cazuri de deces cauzate de tuberculoză), cu 37,2% a ratei de mortalitate față de datele anului 2014 (508 cazuri de deces cauzate de tuberculoză) și cu 30% față de datele anului 2013 (456 cazuri de deces cauzate de tuberculoză). </v>
      </c>
      <c r="E32" s="907"/>
      <c r="F32" s="907"/>
      <c r="G32" s="908"/>
      <c r="H32" s="460"/>
      <c r="I32" s="913"/>
      <c r="J32" s="914"/>
      <c r="K32" s="914"/>
      <c r="L32" s="914"/>
      <c r="M32" s="914"/>
      <c r="N32" s="915"/>
      <c r="O32" s="34"/>
    </row>
    <row r="33" spans="1:15" ht="87" customHeight="1">
      <c r="A33" s="144"/>
      <c r="B33" s="471" t="s">
        <v>63</v>
      </c>
      <c r="C33" s="470"/>
      <c r="D33" s="906" t="str">
        <f>IF(ISBLANK(Programatic!L21),"",(Programatic!L21))</f>
        <v xml:space="preserve">Date preliminare pentru anul 2017. 260 cazuri noi de tuberculoză cu cultura pozitivă, testate la sensibilitate pentru preparatele de linia I, din 1 065 investigate în 2017, au fost diagnosticate cu MDR.
Notă - Se constată menținerea unei rate înalte a TB MDR printre cazurile noi, situație caracteristică ultimilor ani. </v>
      </c>
      <c r="E33" s="907"/>
      <c r="F33" s="907"/>
      <c r="G33" s="908"/>
      <c r="H33" s="460"/>
      <c r="I33" s="913"/>
      <c r="J33" s="914"/>
      <c r="K33" s="914"/>
      <c r="L33" s="914"/>
      <c r="M33" s="914"/>
      <c r="N33" s="915"/>
      <c r="O33" s="34"/>
    </row>
    <row r="34" spans="1:15" ht="199.5" customHeight="1">
      <c r="A34" s="144"/>
      <c r="B34" s="471" t="s">
        <v>64</v>
      </c>
      <c r="C34" s="470"/>
      <c r="D34" s="906" t="str">
        <f>IF(ISBLANK(Programatic!L22),"",(Programatic!L22))</f>
        <v xml:space="preserve">Date preliminare pentru cohorta MDR-TB 2014. 461 cazuri confirmate de TB MDR, din 928 incluse în tratmentul DOTS Plus în anul 2014, au fost tratate cu succes (vindecate și cu tratamente încheiate).                                                                                  
Notă - Totodată, rata de eșec înregistrată a fost de 15,5% (144/928), rata de abandon de 20,1% (186/928) și rata de deces de 14,3% (133/928). În același timp, analiza ratei succesului pe diferite categorii de pacienți a arătat o diferență între cazurile noi și cele de retratament. Astfel, rata de succes printre cazurile noi TB a constituit 63,4% (258/407), atunci cînd printre cele de retratament - 38,9% (203/521). De asemenea, rata de eșec înregistrată printre cazurile noi a fost de 9,8% (40/407) și printre retratamente - 19,9% (104/521); rata de abandon - 14,7% (60/407) și 24,2% (126/521) respectiv; și rata de deces - 11,8% (48/407) și 16,3% (85/521) respectiv. La fel, stratificarea rezultatului de tratament printre cazurile anterior tratate arată o rată de succes de 50,7% (111/219) printre recidive, 26,3% (42/160) printre cazurile revenite după abandon și 22,4% (15/67) printre cazurile după eșec.  </v>
      </c>
      <c r="E34" s="907"/>
      <c r="F34" s="907"/>
      <c r="G34" s="908"/>
      <c r="H34" s="460"/>
      <c r="I34" s="913"/>
      <c r="J34" s="914"/>
      <c r="K34" s="914"/>
      <c r="L34" s="914"/>
      <c r="M34" s="914"/>
      <c r="N34" s="915"/>
      <c r="O34" s="34"/>
    </row>
    <row r="35" spans="1:15" ht="107.25" customHeight="1">
      <c r="A35" s="144"/>
      <c r="B35" s="471" t="s">
        <v>65</v>
      </c>
      <c r="C35" s="472"/>
      <c r="D35" s="906" t="str">
        <f>IF(ISBLANK(Programatic!L23),"",(Programatic!L23))</f>
        <v xml:space="preserve">Date preliminare pentru anul 2017. 3 358 cazuri de tuberculoză (toate formele, bacteriologic confirmate și diagnosticate clinic, cazuri noi și recidive) au fost notificate către autoritatea națională în anul 2017.                                                                                                      Notă - Se constată o descreștere continuă a ratei de notificare înregistrate, precum urmează: cu 6% comparativ cu datele anului 2016 (88,63 per 100 000), cu 7% comparativ cu 2015 (89,5 per 100 000), cu 10% comparativ cu 2014 (92,5 per 100 000), cu 14,7% comparativ cu 2013 (97,6 per 100 000) și cu 18,9% comparativ cu anul 2012 (102,7 per 100 000).    </v>
      </c>
      <c r="E35" s="907"/>
      <c r="F35" s="907"/>
      <c r="G35" s="908"/>
      <c r="H35" s="460"/>
      <c r="I35" s="913"/>
      <c r="J35" s="914"/>
      <c r="K35" s="914"/>
      <c r="L35" s="914"/>
      <c r="M35" s="914"/>
      <c r="N35" s="915"/>
      <c r="O35" s="34"/>
    </row>
    <row r="36" spans="1:15" ht="82.5" customHeight="1">
      <c r="A36" s="144"/>
      <c r="B36" s="471" t="s">
        <v>72</v>
      </c>
      <c r="C36" s="472"/>
      <c r="D36" s="906" t="str">
        <f>IF(ISBLANK(Programatic!L24),"",(Programatic!L24))</f>
        <v xml:space="preserve">Date finale pentru anul 2016. 1 031 pacienți cu tuberculoză drog-rezistentă (RR-TB și/sau MDR-TB), confirmate bacteriologic, au fost notificate, față de 868 cazuri estimate pentru perioada raportată.                                                    
Notă - Reducerea numărului de pacienți MDR TB notificați este în directă corespundere cu scăderea incidenței TB.                                                                                                                </v>
      </c>
      <c r="E36" s="907"/>
      <c r="F36" s="907"/>
      <c r="G36" s="908"/>
      <c r="H36" s="460"/>
      <c r="I36" s="913"/>
      <c r="J36" s="914"/>
      <c r="K36" s="914"/>
      <c r="L36" s="914"/>
      <c r="M36" s="914"/>
      <c r="N36" s="915"/>
      <c r="O36" s="34"/>
    </row>
    <row r="37" spans="1:15" ht="102" customHeight="1">
      <c r="A37" s="144"/>
      <c r="B37" s="471" t="s">
        <v>73</v>
      </c>
      <c r="C37" s="472"/>
      <c r="D37" s="906" t="str">
        <f>IF(ISBLANK(Programatic!L25),"",(Programatic!L25))</f>
        <v xml:space="preserve">Date preliminare pentru anul 2017. 976 (și anume: 257 în Q1.2017, 251 în Q2.2017, 231 în Q3.2017 și 237 în Q4.2017) cu tuberculoză drog-rezistentă (RR-TB și/sau MDR-TB), confirmate bacteriologic, au demarat tratamentul DOTS-Plus în anul 2017, față de 730 pacienți preconizați pentru perioada raportată.                                                           Notă - Ținta a fost depășită din cauza includerii în tratamentul DOTS Plus a unui număr adițional de pacienți MDR TB în locul cazurilor de eșec, mortalitate sau pierdute din supraveghere înregistrate.       </v>
      </c>
      <c r="E37" s="907"/>
      <c r="F37" s="907"/>
      <c r="G37" s="908"/>
      <c r="H37" s="460"/>
      <c r="I37" s="913"/>
      <c r="J37" s="914"/>
      <c r="K37" s="914"/>
      <c r="L37" s="914"/>
      <c r="M37" s="914"/>
      <c r="N37" s="915"/>
      <c r="O37" s="34"/>
    </row>
    <row r="38" spans="1:15" ht="162.75" customHeight="1">
      <c r="A38" s="144"/>
      <c r="B38" s="471" t="s">
        <v>74</v>
      </c>
      <c r="C38" s="472"/>
      <c r="D38" s="906" t="str">
        <f>IF(ISBLANK(Programatic!L26),"",(Programatic!L26))</f>
        <v xml:space="preserve">Date finale pentru cohorta anului 2016. 103 pacienți din 1 039 incluși în tratamentul DOTS Plus în anul 2016, au abandonat tratamentul către luna a 6 de la demararea tratamentului DOTS Plus.                    
Notă - Analiza cazurilor care au abandonat tratamentul pentru DR-TB ne arată că există o diferență a ratei abandonului printre diferite categorii de pacienți. Astfel, rata interimară de abandon printre cazurile noi de pacienți cu DR-TB aflați în tratament a constituit doar 7% (31/444), pe când printre cazurile de retratamente aceasta a constituit 12% (70/583). Totodată, analizând rata interimară de abandon printre cazurile anterior tratate de pacienții cu DR-TB, se observă că aceasta, la fel, s-a deosebit la diferite tipuri de pacienți: dacă la cazurile după eșec aceasta a fost de 7.3% (15/205), atunci  printre recidive a ajuns la 10,1% (24/237) și printre cazurile după abandon - la 22% (31/141). </v>
      </c>
      <c r="E38" s="907"/>
      <c r="F38" s="907"/>
      <c r="G38" s="908"/>
      <c r="H38" s="460"/>
      <c r="I38" s="913"/>
      <c r="J38" s="914"/>
      <c r="K38" s="914"/>
      <c r="L38" s="914"/>
      <c r="M38" s="914"/>
      <c r="N38" s="915"/>
      <c r="O38" s="34"/>
    </row>
    <row r="39" spans="1:15"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topLeftCell="A19" zoomScaleNormal="100" zoomScaleSheetLayoutView="100" workbookViewId="0">
      <selection activeCell="P9" sqref="P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65" t="str">
        <f>+"Tabel Programatic de Evaluare:  "&amp;"  "&amp;IF(+'Introducerea datelor'!C4="Please Select","",'Introducerea datelor'!C4&amp;" - ")&amp;IF('Introducerea datelor'!G6="Please Select","",'Introducerea datelor'!G6)</f>
        <v>Tabel Programatic de Evaluare:    Moldova - TB</v>
      </c>
      <c r="C2" s="765"/>
      <c r="D2" s="765"/>
      <c r="E2" s="765"/>
      <c r="F2" s="765"/>
      <c r="G2" s="765"/>
      <c r="H2" s="765"/>
      <c r="I2" s="765"/>
      <c r="J2" s="765"/>
      <c r="K2" s="765"/>
      <c r="L2" s="765"/>
    </row>
    <row r="3" spans="1:13">
      <c r="B3" s="23" t="str">
        <f>+IF('Introducerea datelor'!G8="Please Select","",'Introducerea datelor'!G8)</f>
        <v/>
      </c>
      <c r="C3" s="770" t="str">
        <f>+IF('Introducerea datelor'!I8="Please Select","",'Introducerea datelor'!I8)</f>
        <v>Period 1</v>
      </c>
      <c r="D3" s="770"/>
      <c r="E3" s="768"/>
      <c r="F3" s="768"/>
      <c r="G3" s="768"/>
      <c r="H3" s="768"/>
      <c r="I3" s="768"/>
      <c r="J3" s="769" t="str">
        <f>+'Introducerea datelor'!B16</f>
        <v>Perioada de Raportare:</v>
      </c>
      <c r="K3" s="769"/>
      <c r="L3" s="160" t="str">
        <f>+'Introducerea datelor'!C16</f>
        <v>P5</v>
      </c>
      <c r="M3" s="84"/>
    </row>
    <row r="4" spans="1:13">
      <c r="B4" s="23" t="str">
        <f>+'Introducerea datelor'!B12</f>
        <v>Ultimul Rating:</v>
      </c>
      <c r="C4" s="968" t="str">
        <f>+IF('Introducerea datelor'!C12="Please Select","",'Introducerea datelor'!C12)</f>
        <v>A2</v>
      </c>
      <c r="D4" s="968"/>
      <c r="E4" s="768" t="str">
        <f>+'Introducerea datelor'!C8</f>
        <v>IP UCIMP DS</v>
      </c>
      <c r="F4" s="768"/>
      <c r="G4" s="768"/>
      <c r="H4" s="768"/>
      <c r="I4" s="768"/>
      <c r="J4" s="769" t="str">
        <f>+'Introducerea datelor'!D16</f>
        <v>De la:</v>
      </c>
      <c r="K4" s="771"/>
      <c r="L4" s="161">
        <f>+IF(ISBLANK('Introducerea datelor'!E16),"",'Introducerea datelor'!E16)</f>
        <v>42917</v>
      </c>
    </row>
    <row r="5" spans="1:13" ht="18.75" customHeight="1">
      <c r="B5" s="23"/>
      <c r="C5" s="23"/>
      <c r="D5" s="768" t="str">
        <f>+'Introducerea datelor'!G4</f>
        <v>Consolidarea controlului Tuberculozei în Republica Moldova</v>
      </c>
      <c r="E5" s="768"/>
      <c r="F5" s="768"/>
      <c r="G5" s="768"/>
      <c r="H5" s="768"/>
      <c r="I5" s="768"/>
      <c r="J5" s="768"/>
      <c r="K5" s="23" t="str">
        <f>+'Introducerea datelor'!F16</f>
        <v>Pînă la:</v>
      </c>
      <c r="L5" s="161">
        <f>+IF(ISBLANK('Introducerea datelor'!G16),"",'Introducerea datelor'!G16)</f>
        <v>43100</v>
      </c>
    </row>
    <row r="6" spans="1:13" ht="18.75">
      <c r="B6" s="22"/>
      <c r="C6" s="23"/>
      <c r="D6" s="24"/>
      <c r="E6" s="767" t="s">
        <v>401</v>
      </c>
      <c r="F6" s="767"/>
      <c r="G6" s="767"/>
      <c r="H6" s="767"/>
      <c r="I6" s="767"/>
    </row>
    <row r="7" spans="1:13" ht="18.75">
      <c r="E7" s="71"/>
      <c r="F7" s="71"/>
      <c r="G7" s="71"/>
      <c r="H7" s="71"/>
      <c r="I7" s="71"/>
    </row>
    <row r="8" spans="1:13" s="32" customFormat="1" ht="21" customHeight="1" thickBot="1">
      <c r="B8" s="75" t="s">
        <v>402</v>
      </c>
      <c r="C8" s="75"/>
      <c r="D8" s="75"/>
      <c r="E8" s="75"/>
      <c r="F8" s="75"/>
      <c r="G8" s="75"/>
      <c r="H8" s="75"/>
      <c r="I8" s="75"/>
      <c r="J8" s="75"/>
      <c r="K8" s="75"/>
      <c r="L8" s="75"/>
    </row>
    <row r="9" spans="1:13" ht="6" customHeight="1">
      <c r="B9" s="73"/>
    </row>
    <row r="10" spans="1:13" ht="18" customHeight="1">
      <c r="B10" s="974"/>
      <c r="C10" s="975"/>
      <c r="D10" s="975"/>
      <c r="E10" s="975"/>
      <c r="F10" s="975"/>
      <c r="G10" s="975"/>
      <c r="H10" s="975"/>
      <c r="I10" s="975"/>
      <c r="J10" s="975"/>
      <c r="K10" s="975"/>
      <c r="L10" s="976"/>
    </row>
    <row r="11" spans="1:13" ht="18" customHeight="1">
      <c r="B11" s="977"/>
      <c r="C11" s="978"/>
      <c r="D11" s="978"/>
      <c r="E11" s="978"/>
      <c r="F11" s="978"/>
      <c r="G11" s="978"/>
      <c r="H11" s="978"/>
      <c r="I11" s="978"/>
      <c r="J11" s="978"/>
      <c r="K11" s="978"/>
      <c r="L11" s="979"/>
    </row>
    <row r="12" spans="1:13" ht="15.75" thickBot="1"/>
    <row r="13" spans="1:13" ht="26.25" customHeight="1" thickBot="1">
      <c r="B13" s="970" t="s">
        <v>430</v>
      </c>
      <c r="C13" s="971"/>
      <c r="D13" s="971"/>
      <c r="E13" s="972"/>
      <c r="F13" s="76"/>
      <c r="G13" s="980" t="s">
        <v>403</v>
      </c>
      <c r="H13" s="949"/>
      <c r="I13" s="949"/>
      <c r="J13" s="77" t="s">
        <v>404</v>
      </c>
      <c r="K13" s="949" t="s">
        <v>405</v>
      </c>
      <c r="L13" s="950"/>
    </row>
    <row r="14" spans="1:13" ht="18.75" customHeight="1">
      <c r="A14" s="919" t="s">
        <v>406</v>
      </c>
      <c r="B14" s="965"/>
      <c r="C14" s="966"/>
      <c r="D14" s="966"/>
      <c r="E14" s="967"/>
      <c r="F14" s="45"/>
      <c r="G14" s="964"/>
      <c r="H14" s="952"/>
      <c r="I14" s="952"/>
      <c r="J14" s="952"/>
      <c r="K14" s="952"/>
      <c r="L14" s="969"/>
    </row>
    <row r="15" spans="1:13" ht="18.75" customHeight="1">
      <c r="A15" s="920"/>
      <c r="B15" s="956"/>
      <c r="C15" s="957"/>
      <c r="D15" s="957"/>
      <c r="E15" s="958"/>
      <c r="F15" s="45"/>
      <c r="G15" s="961"/>
      <c r="H15" s="939"/>
      <c r="I15" s="939"/>
      <c r="J15" s="939"/>
      <c r="K15" s="939"/>
      <c r="L15" s="940"/>
    </row>
    <row r="16" spans="1:13" ht="18.75" customHeight="1">
      <c r="A16" s="920"/>
      <c r="B16" s="953"/>
      <c r="C16" s="954"/>
      <c r="D16" s="954"/>
      <c r="E16" s="955"/>
      <c r="F16" s="45"/>
      <c r="G16" s="961"/>
      <c r="H16" s="939"/>
      <c r="I16" s="939"/>
      <c r="J16" s="939"/>
      <c r="K16" s="939"/>
      <c r="L16" s="940"/>
    </row>
    <row r="17" spans="1:12" ht="18.75" customHeight="1">
      <c r="A17" s="920"/>
      <c r="B17" s="956"/>
      <c r="C17" s="957"/>
      <c r="D17" s="957"/>
      <c r="E17" s="958"/>
      <c r="F17" s="45"/>
      <c r="G17" s="961"/>
      <c r="H17" s="939"/>
      <c r="I17" s="939"/>
      <c r="J17" s="939"/>
      <c r="K17" s="939"/>
      <c r="L17" s="940"/>
    </row>
    <row r="18" spans="1:12" ht="18.75" customHeight="1">
      <c r="A18" s="920"/>
      <c r="B18" s="953"/>
      <c r="C18" s="954"/>
      <c r="D18" s="954"/>
      <c r="E18" s="955"/>
      <c r="F18" s="45"/>
      <c r="G18" s="941"/>
      <c r="H18" s="942"/>
      <c r="I18" s="943"/>
      <c r="J18" s="939"/>
      <c r="K18" s="939"/>
      <c r="L18" s="940"/>
    </row>
    <row r="19" spans="1:12" ht="18.75" customHeight="1">
      <c r="A19" s="920"/>
      <c r="B19" s="956"/>
      <c r="C19" s="957"/>
      <c r="D19" s="957"/>
      <c r="E19" s="958"/>
      <c r="F19" s="45"/>
      <c r="G19" s="935"/>
      <c r="H19" s="936"/>
      <c r="I19" s="944"/>
      <c r="J19" s="939"/>
      <c r="K19" s="939"/>
      <c r="L19" s="940"/>
    </row>
    <row r="20" spans="1:12" ht="18.75" customHeight="1">
      <c r="A20" s="920"/>
      <c r="B20" s="959"/>
      <c r="C20" s="959"/>
      <c r="D20" s="959"/>
      <c r="E20" s="960"/>
      <c r="F20" s="45"/>
      <c r="G20" s="961"/>
      <c r="H20" s="939"/>
      <c r="I20" s="939"/>
      <c r="J20" s="939"/>
      <c r="K20" s="939"/>
      <c r="L20" s="940"/>
    </row>
    <row r="21" spans="1:12" ht="18.75" customHeight="1">
      <c r="A21" s="920"/>
      <c r="B21" s="959"/>
      <c r="C21" s="959"/>
      <c r="D21" s="959"/>
      <c r="E21" s="960"/>
      <c r="F21" s="45"/>
      <c r="G21" s="961"/>
      <c r="H21" s="939"/>
      <c r="I21" s="939"/>
      <c r="J21" s="939"/>
      <c r="K21" s="939"/>
      <c r="L21" s="940"/>
    </row>
    <row r="22" spans="1:12" ht="18.75" customHeight="1">
      <c r="A22" s="920"/>
      <c r="B22" s="959"/>
      <c r="C22" s="959"/>
      <c r="D22" s="959"/>
      <c r="E22" s="960"/>
      <c r="F22" s="45"/>
      <c r="G22" s="961"/>
      <c r="H22" s="939"/>
      <c r="I22" s="939"/>
      <c r="J22" s="939"/>
      <c r="K22" s="939"/>
      <c r="L22" s="940"/>
    </row>
    <row r="23" spans="1:12" ht="18.75" customHeight="1">
      <c r="A23" s="920"/>
      <c r="B23" s="959"/>
      <c r="C23" s="959"/>
      <c r="D23" s="959"/>
      <c r="E23" s="960"/>
      <c r="F23" s="45"/>
      <c r="G23" s="961"/>
      <c r="H23" s="939"/>
      <c r="I23" s="939"/>
      <c r="J23" s="939"/>
      <c r="K23" s="939"/>
      <c r="L23" s="940"/>
    </row>
    <row r="24" spans="1:12" ht="18.75" customHeight="1">
      <c r="A24" s="920"/>
      <c r="B24" s="959"/>
      <c r="C24" s="959"/>
      <c r="D24" s="959"/>
      <c r="E24" s="960"/>
      <c r="F24" s="45"/>
      <c r="G24" s="961"/>
      <c r="H24" s="939"/>
      <c r="I24" s="939"/>
      <c r="J24" s="939"/>
      <c r="K24" s="939"/>
      <c r="L24" s="940"/>
    </row>
    <row r="25" spans="1:12" ht="18.75" customHeight="1" thickBot="1">
      <c r="A25" s="921"/>
      <c r="B25" s="962"/>
      <c r="C25" s="962"/>
      <c r="D25" s="962"/>
      <c r="E25" s="963"/>
      <c r="F25" s="45"/>
      <c r="G25" s="981"/>
      <c r="H25" s="945"/>
      <c r="I25" s="945"/>
      <c r="J25" s="945"/>
      <c r="K25" s="945"/>
      <c r="L25" s="946"/>
    </row>
    <row r="27" spans="1:12" ht="18.75">
      <c r="E27" s="982" t="s">
        <v>407</v>
      </c>
      <c r="F27" s="982"/>
      <c r="G27" s="982"/>
      <c r="H27" s="982"/>
      <c r="I27" s="982"/>
    </row>
    <row r="28" spans="1:12" ht="6" customHeight="1">
      <c r="E28" s="71"/>
      <c r="F28" s="71"/>
      <c r="G28" s="71"/>
      <c r="H28" s="71"/>
      <c r="I28" s="71"/>
    </row>
    <row r="29" spans="1:12" s="32" customFormat="1" ht="21" customHeight="1" thickBot="1">
      <c r="B29" s="75" t="s">
        <v>408</v>
      </c>
      <c r="C29" s="75"/>
      <c r="D29" s="75"/>
      <c r="E29" s="75"/>
      <c r="F29" s="75"/>
      <c r="G29" s="75"/>
      <c r="H29" s="75"/>
      <c r="I29" s="75"/>
      <c r="J29" s="75"/>
      <c r="K29" s="75"/>
      <c r="L29" s="75"/>
    </row>
    <row r="30" spans="1:12" ht="6" customHeight="1" thickBot="1">
      <c r="B30" s="73"/>
    </row>
    <row r="31" spans="1:12" ht="38.25" customHeight="1" thickBot="1">
      <c r="B31" s="970" t="s">
        <v>403</v>
      </c>
      <c r="C31" s="971"/>
      <c r="D31" s="971"/>
      <c r="E31" s="972"/>
      <c r="F31" s="76"/>
      <c r="G31" s="980" t="s">
        <v>409</v>
      </c>
      <c r="H31" s="949"/>
      <c r="I31" s="949"/>
      <c r="J31" s="77" t="s">
        <v>410</v>
      </c>
      <c r="K31" s="949" t="s">
        <v>405</v>
      </c>
      <c r="L31" s="950"/>
    </row>
    <row r="32" spans="1:12" ht="16.5" customHeight="1">
      <c r="A32" s="919" t="s">
        <v>411</v>
      </c>
      <c r="B32" s="932"/>
      <c r="C32" s="933"/>
      <c r="D32" s="933"/>
      <c r="E32" s="934"/>
      <c r="F32" s="45"/>
      <c r="G32" s="973"/>
      <c r="H32" s="938"/>
      <c r="I32" s="938"/>
      <c r="J32" s="938"/>
      <c r="K32" s="938"/>
      <c r="L32" s="951"/>
    </row>
    <row r="33" spans="1:12" ht="16.5" customHeight="1">
      <c r="A33" s="920"/>
      <c r="B33" s="935"/>
      <c r="C33" s="936"/>
      <c r="D33" s="936"/>
      <c r="E33" s="937"/>
      <c r="F33" s="45"/>
      <c r="G33" s="928"/>
      <c r="H33" s="929"/>
      <c r="I33" s="929"/>
      <c r="J33" s="929"/>
      <c r="K33" s="929"/>
      <c r="L33" s="947"/>
    </row>
    <row r="34" spans="1:12" ht="16.5" customHeight="1">
      <c r="A34" s="920"/>
      <c r="B34" s="922" t="str">
        <f>IF(Recomandari!I39="","",Recomandari!I39)</f>
        <v/>
      </c>
      <c r="C34" s="923"/>
      <c r="D34" s="923"/>
      <c r="E34" s="924"/>
      <c r="F34" s="45"/>
      <c r="G34" s="928"/>
      <c r="H34" s="929"/>
      <c r="I34" s="929"/>
      <c r="J34" s="929"/>
      <c r="K34" s="929"/>
      <c r="L34" s="947"/>
    </row>
    <row r="35" spans="1:12" ht="16.5" customHeight="1">
      <c r="A35" s="920"/>
      <c r="B35" s="922"/>
      <c r="C35" s="923"/>
      <c r="D35" s="923"/>
      <c r="E35" s="924"/>
      <c r="F35" s="45"/>
      <c r="G35" s="928"/>
      <c r="H35" s="929"/>
      <c r="I35" s="929"/>
      <c r="J35" s="929"/>
      <c r="K35" s="929"/>
      <c r="L35" s="947"/>
    </row>
    <row r="36" spans="1:12" ht="16.5" customHeight="1">
      <c r="A36" s="920"/>
      <c r="B36" s="922" t="str">
        <f>+IF(Recomandari!I49="","",Recomandari!I49)</f>
        <v/>
      </c>
      <c r="C36" s="923"/>
      <c r="D36" s="923"/>
      <c r="E36" s="924"/>
      <c r="F36" s="45"/>
      <c r="G36" s="928"/>
      <c r="H36" s="929"/>
      <c r="I36" s="929"/>
      <c r="J36" s="929"/>
      <c r="K36" s="929"/>
      <c r="L36" s="947"/>
    </row>
    <row r="37" spans="1:12" ht="16.5" customHeight="1">
      <c r="A37" s="920"/>
      <c r="B37" s="922"/>
      <c r="C37" s="923"/>
      <c r="D37" s="923"/>
      <c r="E37" s="924"/>
      <c r="F37" s="45"/>
      <c r="G37" s="928"/>
      <c r="H37" s="929"/>
      <c r="I37" s="929"/>
      <c r="J37" s="929"/>
      <c r="K37" s="929"/>
      <c r="L37" s="947"/>
    </row>
    <row r="38" spans="1:12" ht="16.5" customHeight="1">
      <c r="A38" s="920"/>
      <c r="B38" s="922"/>
      <c r="C38" s="923"/>
      <c r="D38" s="923"/>
      <c r="E38" s="924"/>
      <c r="F38" s="45"/>
      <c r="G38" s="928"/>
      <c r="H38" s="929"/>
      <c r="I38" s="929"/>
      <c r="J38" s="929"/>
      <c r="K38" s="929"/>
      <c r="L38" s="947"/>
    </row>
    <row r="39" spans="1:12" ht="16.5" customHeight="1">
      <c r="A39" s="920"/>
      <c r="B39" s="922"/>
      <c r="C39" s="923"/>
      <c r="D39" s="923"/>
      <c r="E39" s="924"/>
      <c r="F39" s="45"/>
      <c r="G39" s="928"/>
      <c r="H39" s="929"/>
      <c r="I39" s="929"/>
      <c r="J39" s="929"/>
      <c r="K39" s="929"/>
      <c r="L39" s="947"/>
    </row>
    <row r="40" spans="1:12" ht="16.5" customHeight="1">
      <c r="A40" s="920"/>
      <c r="B40" s="922"/>
      <c r="C40" s="923"/>
      <c r="D40" s="923"/>
      <c r="E40" s="924"/>
      <c r="F40" s="45"/>
      <c r="G40" s="928"/>
      <c r="H40" s="929"/>
      <c r="I40" s="929"/>
      <c r="J40" s="929"/>
      <c r="K40" s="929"/>
      <c r="L40" s="947"/>
    </row>
    <row r="41" spans="1:12" ht="16.5" customHeight="1">
      <c r="A41" s="920"/>
      <c r="B41" s="922"/>
      <c r="C41" s="923"/>
      <c r="D41" s="923"/>
      <c r="E41" s="924"/>
      <c r="F41" s="45"/>
      <c r="G41" s="928"/>
      <c r="H41" s="929"/>
      <c r="I41" s="929"/>
      <c r="J41" s="929"/>
      <c r="K41" s="929"/>
      <c r="L41" s="947"/>
    </row>
    <row r="42" spans="1:12" ht="16.5" customHeight="1">
      <c r="A42" s="920"/>
      <c r="B42" s="922"/>
      <c r="C42" s="923"/>
      <c r="D42" s="923"/>
      <c r="E42" s="924"/>
      <c r="F42" s="45"/>
      <c r="G42" s="928"/>
      <c r="H42" s="929"/>
      <c r="I42" s="929"/>
      <c r="J42" s="929"/>
      <c r="K42" s="929"/>
      <c r="L42" s="947"/>
    </row>
    <row r="43" spans="1:12" ht="16.5" customHeight="1" thickBot="1">
      <c r="A43" s="921"/>
      <c r="B43" s="925"/>
      <c r="C43" s="926"/>
      <c r="D43" s="926"/>
      <c r="E43" s="927"/>
      <c r="F43" s="45"/>
      <c r="G43" s="930"/>
      <c r="H43" s="931"/>
      <c r="I43" s="931"/>
      <c r="J43" s="931"/>
      <c r="K43" s="931"/>
      <c r="L43" s="948"/>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83" t="str">
        <f>'Detail despre Grant'!B3:J3</f>
        <v>Tabel Programatic de Evaluare:  Moldova - TB</v>
      </c>
      <c r="C3" s="983"/>
      <c r="D3" s="983"/>
      <c r="E3" s="983"/>
      <c r="F3" s="983"/>
      <c r="G3" s="983"/>
      <c r="H3" s="983"/>
      <c r="I3" s="1"/>
    </row>
    <row r="6" spans="2:15" ht="18.75">
      <c r="B6" s="982" t="s">
        <v>247</v>
      </c>
      <c r="C6" s="982"/>
      <c r="D6" s="982"/>
      <c r="E6" s="982"/>
      <c r="F6" s="982"/>
      <c r="G6" s="982"/>
      <c r="H6" s="982"/>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20" t="s">
        <v>270</v>
      </c>
      <c r="J9" s="85" t="s">
        <v>270</v>
      </c>
      <c r="M9" s="19"/>
      <c r="N9" s="19"/>
      <c r="O9" s="19"/>
    </row>
    <row r="10" spans="2:15">
      <c r="B10" s="56" t="s">
        <v>12</v>
      </c>
      <c r="C10" s="56" t="s">
        <v>7</v>
      </c>
      <c r="D10" s="56" t="s">
        <v>5</v>
      </c>
      <c r="E10" s="56" t="s">
        <v>6</v>
      </c>
      <c r="F10" s="56" t="s">
        <v>62</v>
      </c>
      <c r="G10" s="323" t="s">
        <v>24</v>
      </c>
      <c r="H10" s="59" t="s">
        <v>29</v>
      </c>
      <c r="I10" s="26" t="s">
        <v>237</v>
      </c>
      <c r="J10" s="85" t="s">
        <v>81</v>
      </c>
      <c r="M10" s="19"/>
      <c r="N10" s="19"/>
      <c r="O10" s="19"/>
    </row>
    <row r="11" spans="2:15">
      <c r="B11" s="56" t="s">
        <v>14</v>
      </c>
      <c r="C11" s="56" t="s">
        <v>2</v>
      </c>
      <c r="D11" s="56" t="s">
        <v>8</v>
      </c>
      <c r="E11" s="56" t="s">
        <v>4</v>
      </c>
      <c r="F11" s="56" t="s">
        <v>63</v>
      </c>
      <c r="G11" s="323" t="s">
        <v>25</v>
      </c>
      <c r="H11" s="59" t="s">
        <v>30</v>
      </c>
      <c r="I11" s="26" t="s">
        <v>238</v>
      </c>
      <c r="J11" s="85" t="s">
        <v>82</v>
      </c>
      <c r="M11" s="19"/>
      <c r="N11" s="19"/>
      <c r="O11" s="19"/>
    </row>
    <row r="12" spans="2:15">
      <c r="B12" s="56" t="s">
        <v>15</v>
      </c>
      <c r="D12" s="56" t="s">
        <v>9</v>
      </c>
      <c r="E12" s="56" t="s">
        <v>10</v>
      </c>
      <c r="F12" s="56" t="s">
        <v>64</v>
      </c>
      <c r="G12" s="323" t="s">
        <v>26</v>
      </c>
      <c r="H12" s="59" t="s">
        <v>31</v>
      </c>
      <c r="I12" s="26" t="s">
        <v>239</v>
      </c>
      <c r="J12" s="85" t="s">
        <v>83</v>
      </c>
      <c r="M12" s="157"/>
      <c r="N12" s="19"/>
      <c r="O12" s="19"/>
    </row>
    <row r="13" spans="2:15">
      <c r="B13" s="56" t="s">
        <v>50</v>
      </c>
      <c r="D13" s="56" t="s">
        <v>11</v>
      </c>
      <c r="E13" s="57"/>
      <c r="F13" s="56" t="s">
        <v>65</v>
      </c>
      <c r="G13" s="323" t="s">
        <v>27</v>
      </c>
      <c r="H13" s="59" t="s">
        <v>32</v>
      </c>
      <c r="I13" s="26" t="s">
        <v>240</v>
      </c>
      <c r="J13" s="85" t="s">
        <v>84</v>
      </c>
      <c r="M13" s="157"/>
      <c r="N13" s="19"/>
      <c r="O13" s="19"/>
    </row>
    <row r="14" spans="2:15">
      <c r="B14" s="56" t="s">
        <v>51</v>
      </c>
      <c r="D14" s="56" t="s">
        <v>18</v>
      </c>
      <c r="F14" s="56" t="s">
        <v>72</v>
      </c>
      <c r="G14" s="323" t="s">
        <v>28</v>
      </c>
      <c r="H14" s="59" t="s">
        <v>33</v>
      </c>
      <c r="I14" s="26" t="s">
        <v>216</v>
      </c>
      <c r="J14" s="85" t="s">
        <v>85</v>
      </c>
      <c r="M14" s="157"/>
      <c r="N14" s="19"/>
      <c r="O14" s="19"/>
    </row>
    <row r="15" spans="2:15">
      <c r="D15" s="56" t="s">
        <v>19</v>
      </c>
      <c r="F15" s="56" t="s">
        <v>73</v>
      </c>
      <c r="H15" s="59" t="s">
        <v>34</v>
      </c>
      <c r="I15" s="26" t="s">
        <v>40</v>
      </c>
      <c r="J15" s="85" t="s">
        <v>86</v>
      </c>
      <c r="M15" s="157"/>
      <c r="N15" s="19"/>
      <c r="O15" s="19"/>
    </row>
    <row r="16" spans="2:15">
      <c r="D16" s="56" t="s">
        <v>20</v>
      </c>
      <c r="F16" s="56" t="s">
        <v>74</v>
      </c>
      <c r="H16" s="59" t="s">
        <v>35</v>
      </c>
      <c r="I16" s="26" t="s">
        <v>41</v>
      </c>
      <c r="J16" s="85" t="s">
        <v>87</v>
      </c>
      <c r="M16" s="157"/>
      <c r="N16" s="19"/>
      <c r="O16" s="19"/>
    </row>
    <row r="17" spans="4:15">
      <c r="D17" s="56" t="s">
        <v>21</v>
      </c>
      <c r="F17" s="56" t="s">
        <v>75</v>
      </c>
      <c r="H17" s="59" t="s">
        <v>36</v>
      </c>
      <c r="I17" s="26" t="s">
        <v>42</v>
      </c>
      <c r="J17" s="85" t="s">
        <v>88</v>
      </c>
      <c r="M17" s="157"/>
      <c r="N17" s="19"/>
      <c r="O17" s="19"/>
    </row>
    <row r="18" spans="4:15">
      <c r="D18" s="56" t="s">
        <v>3</v>
      </c>
      <c r="F18" s="56" t="s">
        <v>76</v>
      </c>
      <c r="H18" s="59" t="s">
        <v>37</v>
      </c>
      <c r="I18" s="26" t="s">
        <v>43</v>
      </c>
      <c r="J18" s="85" t="s">
        <v>89</v>
      </c>
      <c r="M18" s="157"/>
      <c r="N18" s="19"/>
      <c r="O18" s="19"/>
    </row>
    <row r="19" spans="4:15">
      <c r="D19" s="322" t="s">
        <v>269</v>
      </c>
      <c r="F19" s="56" t="s">
        <v>77</v>
      </c>
      <c r="H19" s="59" t="s">
        <v>38</v>
      </c>
      <c r="I19" s="26" t="s">
        <v>44</v>
      </c>
      <c r="J19" s="85" t="s">
        <v>90</v>
      </c>
      <c r="M19" s="157"/>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18"/>
    </row>
  </sheetData>
  <mergeCells count="2">
    <mergeCell ref="B3:H3"/>
    <mergeCell ref="B6:H6"/>
  </mergeCells>
  <phoneticPr fontId="23"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
  <sheetViews>
    <sheetView workbookViewId="0">
      <selection activeCell="P39" sqref="P39"/>
    </sheetView>
  </sheetViews>
  <sheetFormatPr defaultRowHeight="15"/>
  <sheetData>
    <row r="1" spans="1:1">
      <c r="A1" s="360" t="s">
        <v>280</v>
      </c>
    </row>
    <row r="2" spans="1:1" ht="15" customHeight="1">
      <c r="A2" s="361" t="s">
        <v>368</v>
      </c>
    </row>
    <row r="3" spans="1:1">
      <c r="A3" s="360">
        <v>1.1000000000000001</v>
      </c>
    </row>
    <row r="4" spans="1:1">
      <c r="A4" s="361">
        <v>1.2</v>
      </c>
    </row>
    <row r="5" spans="1:1">
      <c r="A5" s="361">
        <v>1.3</v>
      </c>
    </row>
    <row r="6" spans="1:1">
      <c r="A6" s="360">
        <v>1.4</v>
      </c>
    </row>
    <row r="7" spans="1:1" ht="15.75" thickBot="1">
      <c r="A7" s="361">
        <v>1.5</v>
      </c>
    </row>
    <row r="8" spans="1:1">
      <c r="A8" s="362">
        <v>1.7</v>
      </c>
    </row>
    <row r="9" spans="1:1">
      <c r="A9" s="360">
        <v>2.1</v>
      </c>
    </row>
    <row r="10" spans="1:1">
      <c r="A10" s="361">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2018-05-23T06:42:58Z</dcterms:modified>
</cp:coreProperties>
</file>