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codeName="ThisWorkbook"/>
  <mc:AlternateContent xmlns:mc="http://schemas.openxmlformats.org/markup-compatibility/2006">
    <mc:Choice Requires="x15">
      <x15ac:absPath xmlns:x15ac="http://schemas.microsoft.com/office/spreadsheetml/2010/11/ac" url="\\diskstation\Contracte_soferi\Dashboard\"/>
    </mc:Choice>
  </mc:AlternateContent>
  <xr:revisionPtr revIDLastSave="0" documentId="10_ncr:8100000_{BE2793E5-598B-43CF-86AE-9A27BBBEF136}" xr6:coauthVersionLast="32" xr6:coauthVersionMax="32" xr10:uidLastSave="{00000000-0000-0000-0000-000000000000}"/>
  <bookViews>
    <workbookView xWindow="0" yWindow="0" windowWidth="17970" windowHeight="7125" tabRatio="965" activeTab="5" xr2:uid="{00000000-000D-0000-FFFF-FFFF00000000}"/>
  </bookViews>
  <sheets>
    <sheet name="Meniu" sheetId="1" r:id="rId1"/>
    <sheet name="Lista Indicatorilor" sheetId="45" r:id="rId2"/>
    <sheet name="Introducerea datelor" sheetId="29" r:id="rId3"/>
    <sheet name="Detail despre Grant" sheetId="27" r:id="rId4"/>
    <sheet name="Management" sheetId="35" r:id="rId5"/>
    <sheet name="Financiar" sheetId="30" r:id="rId6"/>
    <sheet name="Programatic" sheetId="37" r:id="rId7"/>
    <sheet name="Recomandari" sheetId="42" r:id="rId8"/>
    <sheet name="Actiuni" sheetId="39" r:id="rId9"/>
    <sheet name="Setup" sheetId="32" state="hidden" r:id="rId10"/>
    <sheet name="Sheet1" sheetId="46" r:id="rId11"/>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Actiuni!$A$1:$L$43</definedName>
    <definedName name="_xlnm.Print_Area" localSheetId="5">Financiar!$A$2:$K$34</definedName>
    <definedName name="_xlnm.Print_Area" localSheetId="2">'Introducerea datelor'!$A$1:$O$146</definedName>
    <definedName name="_xlnm.Print_Area" localSheetId="4">Management!$A$2:$L$34</definedName>
    <definedName name="_xlnm.Print_Area" localSheetId="6">Programatic!$A$1:$Q$26</definedName>
    <definedName name="PrintA">Actiuni!$A$2:$L$34</definedName>
    <definedName name="PrintDataF">'Introducerea datelor'!$B$25:$J$64</definedName>
    <definedName name="PrintDataM">'Introducerea datelor'!$B$66:$H$110</definedName>
    <definedName name="PrintF">Financiar!$A$2:$K$31</definedName>
    <definedName name="PrintGD">'Detail despre Grant'!$A$2:$J$13</definedName>
    <definedName name="PrintM" localSheetId="8">Actiuni!$A$2:$L$6</definedName>
    <definedName name="PrintM">Management!$A$2:$L$36</definedName>
    <definedName name="PrintP">Programatic!$A$2:$P$27</definedName>
    <definedName name="PrintR">Recomandari!$A$2:$N$38</definedName>
    <definedName name="Rating">Setup!$G$9:$G$14</definedName>
    <definedName name="Round">Setup!$D$9:$D$21</definedName>
  </definedNames>
  <calcPr calcId="162913" refMode="R1C1"/>
</workbook>
</file>

<file path=xl/calcChain.xml><?xml version="1.0" encoding="utf-8"?>
<calcChain xmlns="http://schemas.openxmlformats.org/spreadsheetml/2006/main">
  <c r="E40" i="29" l="1"/>
  <c r="E41" i="29"/>
  <c r="E42" i="29"/>
  <c r="E44" i="29"/>
  <c r="E46" i="29"/>
  <c r="E39" i="29"/>
  <c r="I145" i="29" l="1"/>
  <c r="J145" i="29"/>
  <c r="K145" i="29"/>
  <c r="L145" i="29"/>
  <c r="I146" i="29"/>
  <c r="J146" i="29"/>
  <c r="K146" i="29"/>
  <c r="L146" i="29"/>
  <c r="I142" i="29"/>
  <c r="J142" i="29"/>
  <c r="K142" i="29"/>
  <c r="L142" i="29"/>
  <c r="I143" i="29"/>
  <c r="J143" i="29"/>
  <c r="K143" i="29"/>
  <c r="L143" i="29"/>
  <c r="I144" i="29"/>
  <c r="J144" i="29"/>
  <c r="K144" i="29"/>
  <c r="L144" i="29"/>
  <c r="H142" i="29"/>
  <c r="H143" i="29"/>
  <c r="H144" i="29"/>
  <c r="H145" i="29"/>
  <c r="H146" i="29"/>
  <c r="L141" i="29"/>
  <c r="I141" i="29"/>
  <c r="J141" i="29"/>
  <c r="K141" i="29"/>
  <c r="F40" i="29" l="1"/>
  <c r="F41" i="29"/>
  <c r="F42" i="29"/>
  <c r="F46" i="29"/>
  <c r="F39" i="29"/>
  <c r="O31" i="29" l="1"/>
  <c r="G13" i="27" l="1"/>
  <c r="B145" i="29" l="1"/>
  <c r="E145" i="29"/>
  <c r="F145" i="29"/>
  <c r="M145" i="29"/>
  <c r="N145" i="29"/>
  <c r="O145" i="29"/>
  <c r="P145" i="29"/>
  <c r="Q145" i="29"/>
  <c r="R145" i="29"/>
  <c r="S145" i="29"/>
  <c r="M146" i="29"/>
  <c r="N146" i="29"/>
  <c r="O146" i="29"/>
  <c r="P146" i="29"/>
  <c r="Q146" i="29"/>
  <c r="R146" i="29"/>
  <c r="S146" i="29"/>
  <c r="B25" i="37" l="1"/>
  <c r="D32" i="29" l="1"/>
  <c r="C46" i="29" l="1"/>
  <c r="D46" i="29"/>
  <c r="D99" i="29" l="1"/>
  <c r="E99" i="29" s="1"/>
  <c r="F99" i="29" s="1"/>
  <c r="G99" i="29" s="1"/>
  <c r="H99" i="29" s="1"/>
  <c r="I99" i="29" s="1"/>
  <c r="J99" i="29" s="1"/>
  <c r="K99" i="29" s="1"/>
  <c r="L99" i="29" s="1"/>
  <c r="M99" i="29" s="1"/>
  <c r="N99" i="29" s="1"/>
  <c r="D98" i="29"/>
  <c r="E98" i="29" s="1"/>
  <c r="F98" i="29" s="1"/>
  <c r="G98" i="29" s="1"/>
  <c r="H98" i="29" s="1"/>
  <c r="I98" i="29" s="1"/>
  <c r="J98" i="29" s="1"/>
  <c r="K98" i="29" s="1"/>
  <c r="L98" i="29" s="1"/>
  <c r="M98" i="29" s="1"/>
  <c r="N98" i="29" s="1"/>
  <c r="D97" i="29"/>
  <c r="E97" i="29" s="1"/>
  <c r="F97" i="29" s="1"/>
  <c r="G97" i="29" s="1"/>
  <c r="H97" i="29" s="1"/>
  <c r="I97" i="29" s="1"/>
  <c r="J97" i="29" s="1"/>
  <c r="K97" i="29" s="1"/>
  <c r="L97" i="29" s="1"/>
  <c r="M97" i="29" s="1"/>
  <c r="N97" i="29" s="1"/>
  <c r="E51" i="29"/>
  <c r="E54" i="29"/>
  <c r="E53" i="29"/>
  <c r="N34" i="29"/>
  <c r="M34" i="29"/>
  <c r="L34" i="29"/>
  <c r="K34" i="29"/>
  <c r="J34" i="29"/>
  <c r="I34" i="29"/>
  <c r="H34" i="29"/>
  <c r="D34" i="29"/>
  <c r="N33" i="29"/>
  <c r="M33" i="29"/>
  <c r="L33" i="29"/>
  <c r="K33" i="29"/>
  <c r="J33" i="29"/>
  <c r="I33" i="29"/>
  <c r="H33" i="29"/>
  <c r="E34" i="29" l="1"/>
  <c r="E78" i="29"/>
  <c r="F34" i="29" l="1"/>
  <c r="E25" i="37"/>
  <c r="F26" i="37"/>
  <c r="E26" i="37"/>
  <c r="F25" i="37"/>
  <c r="F24" i="37"/>
  <c r="E24" i="37"/>
  <c r="F23" i="37"/>
  <c r="E23" i="37"/>
  <c r="F22" i="37"/>
  <c r="E22" i="37"/>
  <c r="F21" i="37"/>
  <c r="E21" i="37"/>
  <c r="F20" i="37"/>
  <c r="E20" i="37"/>
  <c r="G34" i="29" l="1"/>
  <c r="G25" i="37"/>
  <c r="G22" i="37"/>
  <c r="G26" i="37"/>
  <c r="G24" i="37"/>
  <c r="G20" i="37"/>
  <c r="G21" i="37"/>
  <c r="G23" i="37"/>
  <c r="H141" i="29" l="1"/>
  <c r="D30" i="42" l="1"/>
  <c r="D37" i="42" l="1"/>
  <c r="R30" i="29" l="1"/>
  <c r="B26" i="37"/>
  <c r="B24" i="37"/>
  <c r="B23" i="37"/>
  <c r="Q143" i="29"/>
  <c r="R143" i="29"/>
  <c r="Q144" i="29"/>
  <c r="R144" i="29"/>
  <c r="M143" i="29"/>
  <c r="N143" i="29"/>
  <c r="O143" i="29"/>
  <c r="P143" i="29"/>
  <c r="M144" i="29"/>
  <c r="N144" i="29"/>
  <c r="O144" i="29"/>
  <c r="P144" i="29"/>
  <c r="M8" i="37"/>
  <c r="B2" i="39"/>
  <c r="B2" i="42"/>
  <c r="B20" i="37"/>
  <c r="B2" i="37"/>
  <c r="B2" i="35"/>
  <c r="B2" i="30"/>
  <c r="B2" i="45"/>
  <c r="B3" i="27"/>
  <c r="B2" i="1" s="1"/>
  <c r="I9" i="27"/>
  <c r="E50" i="29"/>
  <c r="C38" i="29"/>
  <c r="D38" i="29"/>
  <c r="B32" i="29"/>
  <c r="B31" i="29"/>
  <c r="D29" i="42"/>
  <c r="B22" i="45"/>
  <c r="K5" i="30"/>
  <c r="K4" i="30"/>
  <c r="L5" i="35"/>
  <c r="L4" i="35"/>
  <c r="Q5" i="37"/>
  <c r="Q4" i="37"/>
  <c r="M5" i="42"/>
  <c r="M4" i="42"/>
  <c r="L5" i="39"/>
  <c r="L4" i="39"/>
  <c r="C4" i="39"/>
  <c r="C3" i="39"/>
  <c r="B3" i="39"/>
  <c r="C4" i="42"/>
  <c r="C3" i="42"/>
  <c r="B3" i="42"/>
  <c r="C4" i="37"/>
  <c r="C3" i="37"/>
  <c r="B3" i="37"/>
  <c r="C4" i="35"/>
  <c r="C3" i="35"/>
  <c r="B3" i="35"/>
  <c r="C4" i="30"/>
  <c r="C3" i="30"/>
  <c r="B3" i="30"/>
  <c r="G9" i="27"/>
  <c r="G11" i="27"/>
  <c r="D11" i="27"/>
  <c r="B12" i="27"/>
  <c r="I11" i="27"/>
  <c r="D10" i="27"/>
  <c r="B10" i="27"/>
  <c r="B9" i="27"/>
  <c r="B6" i="27"/>
  <c r="B4" i="1"/>
  <c r="E89" i="29"/>
  <c r="E88" i="29"/>
  <c r="D11" i="42"/>
  <c r="J3" i="35"/>
  <c r="L3" i="35"/>
  <c r="I3" i="30"/>
  <c r="K3" i="30"/>
  <c r="D33" i="42"/>
  <c r="D34" i="42"/>
  <c r="D35" i="42"/>
  <c r="D36" i="42"/>
  <c r="D38" i="42"/>
  <c r="D32" i="42"/>
  <c r="D31" i="42"/>
  <c r="E108" i="29"/>
  <c r="G108" i="29" s="1"/>
  <c r="I108" i="29" s="1"/>
  <c r="E107" i="29"/>
  <c r="G107" i="29" s="1"/>
  <c r="I107" i="29" s="1"/>
  <c r="E109" i="29"/>
  <c r="G109" i="29" s="1"/>
  <c r="I109" i="29" s="1"/>
  <c r="E110" i="29"/>
  <c r="G110" i="29" s="1"/>
  <c r="I110" i="29" s="1"/>
  <c r="K30" i="35"/>
  <c r="K31" i="35"/>
  <c r="K32" i="35"/>
  <c r="K33" i="35"/>
  <c r="M142" i="29"/>
  <c r="N142" i="29"/>
  <c r="O142" i="29"/>
  <c r="P142" i="29"/>
  <c r="Q142" i="29"/>
  <c r="R142" i="29"/>
  <c r="S142" i="29"/>
  <c r="S143" i="29"/>
  <c r="S144" i="29"/>
  <c r="M141" i="29"/>
  <c r="N141" i="29"/>
  <c r="O141" i="29"/>
  <c r="P141" i="29"/>
  <c r="Q141" i="29"/>
  <c r="R141" i="29"/>
  <c r="S141" i="29"/>
  <c r="F143" i="29"/>
  <c r="F141" i="29"/>
  <c r="E143" i="29"/>
  <c r="E141" i="29"/>
  <c r="B143" i="29"/>
  <c r="B141" i="29"/>
  <c r="N35" i="29"/>
  <c r="H29" i="30"/>
  <c r="H28" i="30"/>
  <c r="H27" i="30"/>
  <c r="D24" i="42"/>
  <c r="D23" i="42"/>
  <c r="D22" i="42"/>
  <c r="D21" i="42"/>
  <c r="D20" i="42"/>
  <c r="D19" i="42"/>
  <c r="D14" i="42"/>
  <c r="D13" i="42"/>
  <c r="D12" i="42"/>
  <c r="B25" i="45"/>
  <c r="B23" i="45"/>
  <c r="B21" i="45"/>
  <c r="B20" i="45"/>
  <c r="B19" i="45"/>
  <c r="B11" i="45"/>
  <c r="B10" i="45"/>
  <c r="B9" i="45"/>
  <c r="B8" i="45"/>
  <c r="B4" i="37"/>
  <c r="B4" i="35"/>
  <c r="B4" i="30"/>
  <c r="G72" i="29"/>
  <c r="F20" i="42" s="1"/>
  <c r="G12" i="27"/>
  <c r="H4" i="1"/>
  <c r="G71" i="29"/>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D5" i="35"/>
  <c r="E4" i="35"/>
  <c r="K5" i="35"/>
  <c r="J4" i="35"/>
  <c r="D5" i="37"/>
  <c r="P5" i="37"/>
  <c r="P4" i="37"/>
  <c r="N3" i="37"/>
  <c r="J5" i="30"/>
  <c r="D5" i="30"/>
  <c r="I4" i="30"/>
  <c r="E4" i="30"/>
  <c r="G8" i="37"/>
  <c r="C8" i="37"/>
  <c r="S140" i="29"/>
  <c r="R140" i="29"/>
  <c r="Q140" i="29"/>
  <c r="P140" i="29"/>
  <c r="O140" i="29"/>
  <c r="B22" i="37"/>
  <c r="B21" i="37"/>
  <c r="N140" i="29"/>
  <c r="M140" i="29"/>
  <c r="L140" i="29"/>
  <c r="K140" i="29"/>
  <c r="J140" i="29"/>
  <c r="I140" i="29"/>
  <c r="H140" i="29"/>
  <c r="B36" i="39"/>
  <c r="B34" i="39"/>
  <c r="B34" i="35"/>
  <c r="Z24" i="37"/>
  <c r="AA24" i="37" s="1"/>
  <c r="Z23" i="37"/>
  <c r="AA23" i="37" s="1"/>
  <c r="Z22" i="37"/>
  <c r="AA22" i="37" s="1"/>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6" i="37"/>
  <c r="U26" i="37"/>
  <c r="V26" i="37"/>
  <c r="W26" i="37"/>
  <c r="X26" i="37"/>
  <c r="T28" i="37"/>
  <c r="T27" i="37"/>
  <c r="U27" i="37"/>
  <c r="V27" i="37"/>
  <c r="W27" i="37"/>
  <c r="X27" i="37"/>
  <c r="U28" i="37"/>
  <c r="W28" i="37"/>
  <c r="T29" i="37"/>
  <c r="U29" i="37"/>
  <c r="V29" i="37"/>
  <c r="W29" i="37"/>
  <c r="X29" i="37"/>
  <c r="T30" i="37"/>
  <c r="U30" i="37"/>
  <c r="V30" i="37"/>
  <c r="W30" i="37"/>
  <c r="X30" i="37"/>
  <c r="X28" i="37"/>
  <c r="V28" i="37"/>
  <c r="C35" i="29"/>
  <c r="R29" i="29"/>
  <c r="E35" i="29"/>
  <c r="R33" i="29"/>
  <c r="H35" i="29"/>
  <c r="R35" i="29"/>
  <c r="J35" i="29"/>
  <c r="R49" i="29"/>
  <c r="L35" i="29"/>
  <c r="M35" i="29"/>
  <c r="H15" i="35" l="1"/>
  <c r="H22" i="30"/>
  <c r="B3" i="32"/>
  <c r="AD23" i="37"/>
  <c r="AB23" i="37"/>
  <c r="AF23" i="37"/>
  <c r="AE23" i="37"/>
  <c r="AD22" i="37"/>
  <c r="AC22" i="37"/>
  <c r="AB22" i="37"/>
  <c r="AF22" i="37"/>
  <c r="AE22" i="37"/>
  <c r="AC23" i="37"/>
  <c r="E20" i="42"/>
  <c r="K110" i="29"/>
  <c r="L33" i="35" s="1"/>
  <c r="J33" i="35"/>
  <c r="H7" i="35"/>
  <c r="D35" i="29"/>
  <c r="R32" i="29"/>
  <c r="B22" i="30"/>
  <c r="AB24" i="37"/>
  <c r="AF24" i="37"/>
  <c r="AC24" i="37"/>
  <c r="AD24" i="37"/>
  <c r="AE24" i="37"/>
  <c r="J30" i="35"/>
  <c r="K107" i="29"/>
  <c r="L30" i="35" s="1"/>
  <c r="K108" i="29"/>
  <c r="L31" i="35" s="1"/>
  <c r="J31" i="35"/>
  <c r="J32" i="35"/>
  <c r="K109" i="29"/>
  <c r="L32" i="35" s="1"/>
  <c r="H8" i="30"/>
  <c r="H26" i="35"/>
  <c r="B8" i="30"/>
  <c r="B7" i="35"/>
  <c r="B15" i="35"/>
  <c r="K35" i="29"/>
  <c r="I35" i="29"/>
  <c r="G35" i="29"/>
  <c r="R31" i="29"/>
  <c r="R34" i="29"/>
  <c r="F35" i="29"/>
  <c r="R48" i="29"/>
  <c r="Q50" i="29"/>
  <c r="E52"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mgleixner</author>
    <author>molszak</author>
  </authors>
  <commentList>
    <comment ref="B30" authorId="0" shapeId="0" xr:uid="{00000000-0006-0000-0200-000001000000}">
      <text>
        <r>
          <rPr>
            <sz val="8"/>
            <color indexed="81"/>
            <rFont val="Tahoma"/>
            <family val="2"/>
            <charset val="204"/>
          </rPr>
          <t>To define your periods (eg. P1, P2, P3 etc or P9, P10, P11 etc) you need to unprotect the cells.</t>
        </r>
      </text>
    </comment>
    <comment ref="B71" authorId="1" shapeId="0" xr:uid="{00000000-0006-0000-0200-000002000000}">
      <text>
        <r>
          <rPr>
            <b/>
            <sz val="8"/>
            <color indexed="81"/>
            <rFont val="Tahoma"/>
            <family val="2"/>
            <charset val="204"/>
          </rPr>
          <t xml:space="preserve">If data are not available, do not enter zeros; rather, leave the cells in the table blank. </t>
        </r>
      </text>
    </comment>
    <comment ref="B72" authorId="1" shapeId="0" xr:uid="{00000000-0006-0000-0200-000003000000}">
      <text>
        <r>
          <rPr>
            <b/>
            <sz val="8"/>
            <color indexed="81"/>
            <rFont val="Tahoma"/>
            <family val="2"/>
            <charset val="204"/>
          </rPr>
          <t>If data are not available, do not enter zeros; rather, leave the cells in this table blank.</t>
        </r>
      </text>
    </comment>
    <comment ref="B78" authorId="0" shapeId="0" xr:uid="{00000000-0006-0000-0200-000004000000}">
      <text>
        <r>
          <rPr>
            <sz val="8"/>
            <color indexed="81"/>
            <rFont val="Tahoma"/>
            <family val="2"/>
            <charset val="204"/>
          </rPr>
          <t xml:space="preserve">If data are not available, do not enter zeros; rather, leave the cells in this table blank. </t>
        </r>
      </text>
    </comment>
    <comment ref="B93" authorId="0" shapeId="0" xr:uid="{00000000-0006-0000-0200-00000500000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<sst xmlns="http://schemas.openxmlformats.org/spreadsheetml/2006/main" count="641" uniqueCount="498">
  <si>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</si>
  <si>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Comments:</t>
  </si>
  <si>
    <t>€</t>
  </si>
  <si>
    <t>Round 9</t>
  </si>
  <si>
    <t>Phase 2</t>
  </si>
  <si>
    <t>Round 1</t>
  </si>
  <si>
    <t>Phase 1</t>
  </si>
  <si>
    <t>$</t>
  </si>
  <si>
    <t>Round 2</t>
  </si>
  <si>
    <t>Round 3</t>
  </si>
  <si>
    <t>RCC</t>
  </si>
  <si>
    <t>Round 4</t>
  </si>
  <si>
    <t>HIV / AIDS</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</si>
  <si>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</si>
  <si>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</si>
  <si>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</si>
  <si>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</si>
  <si>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</si>
  <si>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</si>
  <si>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</si>
  <si>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</si>
  <si>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</si>
  <si>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</si>
  <si>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</si>
  <si>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</si>
  <si>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</si>
  <si>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</si>
  <si>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</si>
  <si>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</si>
  <si>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</si>
  <si>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</si>
  <si>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</si>
  <si>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</si>
  <si>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</si>
  <si>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</si>
  <si>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</si>
  <si>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</si>
  <si>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</si>
  <si>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</si>
  <si>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</si>
  <si>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NVP</t>
  </si>
  <si>
    <t>3TC</t>
  </si>
  <si>
    <t>D4T</t>
  </si>
  <si>
    <t>AZT</t>
  </si>
  <si>
    <t>DDI</t>
  </si>
  <si>
    <t>EFV</t>
  </si>
  <si>
    <t>AS/MQ</t>
  </si>
  <si>
    <t>AS/LF</t>
  </si>
  <si>
    <t>AS/AQ</t>
  </si>
  <si>
    <t>Peru</t>
  </si>
  <si>
    <t>HIVAIDS / TB</t>
  </si>
  <si>
    <t>HSS</t>
  </si>
  <si>
    <t>Target</t>
  </si>
  <si>
    <t xml:space="preserve">Achieved </t>
  </si>
  <si>
    <t>Medicaments</t>
  </si>
  <si>
    <t>min</t>
  </si>
  <si>
    <t>max</t>
  </si>
  <si>
    <t>Management</t>
  </si>
  <si>
    <t>F1</t>
  </si>
  <si>
    <t>F2</t>
  </si>
  <si>
    <t>F3</t>
  </si>
  <si>
    <t>F4</t>
  </si>
  <si>
    <t>P1</t>
  </si>
  <si>
    <t>P2</t>
  </si>
  <si>
    <t>P3</t>
  </si>
  <si>
    <t>P4</t>
  </si>
  <si>
    <t>M1</t>
  </si>
  <si>
    <t>M2</t>
  </si>
  <si>
    <t>M3</t>
  </si>
  <si>
    <t>M4</t>
  </si>
  <si>
    <t>M5</t>
  </si>
  <si>
    <t>M6</t>
  </si>
  <si>
    <t>P5</t>
  </si>
  <si>
    <t>P6</t>
  </si>
  <si>
    <t>P7</t>
  </si>
  <si>
    <t>P8</t>
  </si>
  <si>
    <t>P9</t>
  </si>
  <si>
    <t>P10</t>
  </si>
  <si>
    <t>P11</t>
  </si>
  <si>
    <t>SRs</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</si>
  <si>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</si>
  <si>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</si>
  <si>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</si>
  <si>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</si>
  <si>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</si>
  <si>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</si>
  <si>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</si>
  <si>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</si>
  <si>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</si>
  <si>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</si>
  <si>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</si>
  <si>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</si>
  <si>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</si>
  <si>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</si>
  <si>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</si>
  <si>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</si>
  <si>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</si>
  <si>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</si>
  <si>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</si>
  <si>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</si>
  <si>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</si>
  <si>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</si>
  <si>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</si>
  <si>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</si>
  <si>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</si>
  <si>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</si>
  <si>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</si>
  <si>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</si>
  <si>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</si>
  <si>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</si>
  <si>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</si>
  <si>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</si>
  <si>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</si>
  <si>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</si>
  <si>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</si>
  <si>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</si>
  <si>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</si>
  <si>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</si>
  <si>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</si>
  <si>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</si>
  <si>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</si>
  <si>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</si>
  <si>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</si>
  <si>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</si>
  <si>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</si>
  <si>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</si>
  <si>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</si>
  <si>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</si>
  <si>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</si>
  <si>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</si>
  <si>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</si>
  <si>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</si>
  <si>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</si>
  <si>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</si>
  <si>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</si>
  <si>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</si>
  <si>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</si>
  <si>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</si>
  <si>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</si>
  <si>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</si>
  <si>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</si>
  <si>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</si>
  <si>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</si>
  <si>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</si>
  <si>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</si>
  <si>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</si>
  <si>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</si>
  <si>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</si>
  <si>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</si>
  <si>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</si>
  <si>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</si>
  <si>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</si>
  <si>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</si>
  <si>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</si>
  <si>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</si>
  <si>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</si>
  <si>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</si>
  <si>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</si>
  <si>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</si>
  <si>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</si>
  <si>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</si>
  <si>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</si>
  <si>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</si>
  <si>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</si>
  <si>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</si>
  <si>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</si>
  <si>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</si>
  <si>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</si>
  <si>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</si>
  <si>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</si>
  <si>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</si>
  <si>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</si>
  <si>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</si>
  <si>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</si>
  <si>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</si>
  <si>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</si>
  <si>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</si>
  <si>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</si>
  <si>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</si>
  <si>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</si>
  <si>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</si>
  <si>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</si>
  <si>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</si>
  <si>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</si>
  <si>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</si>
  <si>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</si>
  <si>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</si>
  <si>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</si>
  <si>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</si>
  <si>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</si>
  <si>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</si>
  <si>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</si>
  <si>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</si>
  <si>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</si>
  <si>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</si>
  <si>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</si>
  <si>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</si>
  <si>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</si>
  <si>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</si>
  <si>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</si>
  <si>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</si>
  <si>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</si>
  <si>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</si>
  <si>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</si>
  <si>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</si>
  <si>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</si>
  <si>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</si>
  <si>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</si>
  <si>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</si>
  <si>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</si>
  <si>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</si>
  <si>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</si>
  <si>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</si>
  <si>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</si>
  <si>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</si>
  <si>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</si>
  <si>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</si>
  <si>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</si>
  <si>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</si>
  <si>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</si>
  <si>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</si>
  <si>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</si>
  <si>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</si>
  <si>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</si>
  <si>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</si>
  <si>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</si>
  <si>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</si>
  <si>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</si>
  <si>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</si>
  <si>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</si>
  <si>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</si>
  <si>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</si>
  <si>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</si>
  <si>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</si>
  <si>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LFA</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</si>
  <si>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</si>
  <si>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</si>
  <si>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</si>
  <si>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</si>
  <si>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</si>
  <si>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</si>
  <si>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E-PAP</t>
  </si>
  <si>
    <t>Al/Lum</t>
  </si>
  <si>
    <t>TB nutri'l supplements</t>
  </si>
  <si>
    <t>P1 - trend</t>
  </si>
  <si>
    <t>P2 - trend</t>
  </si>
  <si>
    <t>P3 - trend</t>
  </si>
  <si>
    <t>Set-up = List of validation for Grant Detail page</t>
  </si>
  <si>
    <t>Grant No.</t>
  </si>
  <si>
    <t>0% - 59%</t>
  </si>
  <si>
    <t>60% - 89%</t>
  </si>
  <si>
    <t>&gt; 90%</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</si>
  <si>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</si>
  <si>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</si>
  <si>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</si>
  <si>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</si>
  <si>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</si>
  <si>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</si>
  <si>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</si>
  <si>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</si>
  <si>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</si>
  <si>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</si>
  <si>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</si>
  <si>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</si>
  <si>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</si>
  <si>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</si>
  <si>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</si>
  <si>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</si>
  <si>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</si>
  <si>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</si>
  <si>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Please Select</t>
  </si>
  <si>
    <t>TOP 3</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</si>
  <si>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</si>
  <si>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</si>
  <si>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</si>
  <si>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</si>
  <si>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</si>
  <si>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</si>
  <si>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</si>
  <si>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</si>
  <si>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impact 1</t>
  </si>
  <si>
    <t xml:space="preserve">P3 </t>
  </si>
  <si>
    <t>Informație despre Grant</t>
  </si>
  <si>
    <t>Țara:</t>
  </si>
  <si>
    <t>No. Grantului :</t>
  </si>
  <si>
    <t>Recipientul Principal:</t>
  </si>
  <si>
    <t>Ultimul Rating:</t>
  </si>
  <si>
    <t>Numele Grantului:</t>
  </si>
  <si>
    <t>Componenta:</t>
  </si>
  <si>
    <t>Suma totală:</t>
  </si>
  <si>
    <t>Runda:</t>
  </si>
  <si>
    <t>Faza:</t>
  </si>
  <si>
    <t>Agentul Local:</t>
  </si>
  <si>
    <t>Informația despre perioada raportată</t>
  </si>
  <si>
    <t>Perioada de Raportare:</t>
  </si>
  <si>
    <t>De la:</t>
  </si>
  <si>
    <t>Pînă la:</t>
  </si>
  <si>
    <t>Informația despre indicatori</t>
  </si>
  <si>
    <t xml:space="preserve">Informația Financiară: </t>
  </si>
  <si>
    <t xml:space="preserve">Informația pe Management: </t>
  </si>
  <si>
    <t xml:space="preserve">Informația Programatică: </t>
  </si>
  <si>
    <t>Valuta Grantului</t>
  </si>
  <si>
    <t>F1: Bugetul și debursările de către Fondul Global</t>
  </si>
  <si>
    <t>Perioada Raportată</t>
  </si>
  <si>
    <t>Buget Cumulativ</t>
  </si>
  <si>
    <t>Debursări cumulative</t>
  </si>
  <si>
    <t>Debursări</t>
  </si>
  <si>
    <t>F2: Bugetul și cheltuielile actuale după Obiectivele Grantului</t>
  </si>
  <si>
    <t>Obiectivele Grantului</t>
  </si>
  <si>
    <t>Consolidarea controlului Tuberculozei în Republica Moldova</t>
  </si>
  <si>
    <t>% Cumulativ</t>
  </si>
  <si>
    <t>F3: Debursări și cheltuieli</t>
  </si>
  <si>
    <t>Debursat de către Fondul Global</t>
  </si>
  <si>
    <t xml:space="preserve">Cheltuielile și debursările RP </t>
  </si>
  <si>
    <t>Debursări către SR</t>
  </si>
  <si>
    <t>Cheltuielile SR</t>
  </si>
  <si>
    <t>Către perioada de raportare</t>
  </si>
  <si>
    <t>Perioada de raportare curentă</t>
  </si>
  <si>
    <t>Ultima debursare a surselor: Număr de zile calendaristice</t>
  </si>
  <si>
    <t>Preconizat (zile)</t>
  </si>
  <si>
    <t>Actual (zile)</t>
  </si>
  <si>
    <t>Zile necesare pentru remiterea PU/DR final către ALF</t>
  </si>
  <si>
    <t>Zile necesare pentru debursare către RP</t>
  </si>
  <si>
    <t>Zile necesare pentru debursare către SR</t>
  </si>
  <si>
    <t xml:space="preserve">  </t>
  </si>
  <si>
    <t>Informația pe Management:</t>
  </si>
  <si>
    <t xml:space="preserve">M1: Statutul Condițiilor Precedente și a Acțiunilor Prestabilite în Timp </t>
  </si>
  <si>
    <t>Condiții Precedente (CP)</t>
  </si>
  <si>
    <t>Acțiuni Prestabilite în Timp (TBA)</t>
  </si>
  <si>
    <t>Finisate</t>
  </si>
  <si>
    <t>Ne finisate, dar realizarea  în conformitate cu planul</t>
  </si>
  <si>
    <t>Ne finisate, și au depășit planul de realizare</t>
  </si>
  <si>
    <t xml:space="preserve">M2: Statutul pozițiilor cheie a RP </t>
  </si>
  <si>
    <t>Planificate</t>
  </si>
  <si>
    <t>Completate</t>
  </si>
  <si>
    <t>Vacante</t>
  </si>
  <si>
    <t xml:space="preserve">M3: Aranjamente contractuale (SR) </t>
  </si>
  <si>
    <t>Identificați</t>
  </si>
  <si>
    <t>Evaluați</t>
  </si>
  <si>
    <t>Aprobați</t>
  </si>
  <si>
    <t>Contracte semnate</t>
  </si>
  <si>
    <t>Au recepționat surse</t>
  </si>
  <si>
    <t>M4: Numărul rapoartelor complete recepționate la timp</t>
  </si>
  <si>
    <t>SSR către SR</t>
  </si>
  <si>
    <t>SR către RP</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</si>
  <si>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</si>
  <si>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</si>
  <si>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</si>
  <si>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</si>
  <si>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</si>
  <si>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</si>
  <si>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</si>
  <si>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</si>
  <si>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</si>
  <si>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</si>
  <si>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</si>
  <si>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</si>
  <si>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</si>
  <si>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</si>
  <si>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</si>
  <si>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</si>
  <si>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</si>
  <si>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</si>
  <si>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 xml:space="preserve">(7)
Nivelul stocului de siguranță
(exprimat în luni și prestabilit de țară) </t>
  </si>
  <si>
    <t xml:space="preserve">(8 = 6 - 7)
Diferența între stocul curent și stocul de siguranță </t>
  </si>
  <si>
    <t>Informația Programatică:</t>
  </si>
  <si>
    <t>Ținta</t>
  </si>
  <si>
    <t>Rezultat</t>
  </si>
  <si>
    <t>Rezultat 4</t>
  </si>
  <si>
    <t>Nu</t>
  </si>
  <si>
    <t>Indicatori de Program  (Performance Framework )</t>
  </si>
  <si>
    <t>Codul</t>
  </si>
  <si>
    <t>Direct rezulta din activitatea FG?</t>
  </si>
  <si>
    <t>Data Demarării (zz/ll/aa):</t>
  </si>
  <si>
    <t>Data Demarării:</t>
  </si>
  <si>
    <t>Recipientul Principal :</t>
  </si>
  <si>
    <t>Pregătit de către:</t>
  </si>
  <si>
    <t>Data de pregătire a raportului:</t>
  </si>
  <si>
    <t xml:space="preserve">F4: Ultima perioadă de raportare și debursare a RP </t>
  </si>
  <si>
    <t xml:space="preserve"> </t>
  </si>
  <si>
    <t>Indicatorii financiari</t>
  </si>
  <si>
    <t>Comentarii:</t>
  </si>
  <si>
    <t>Indicatorii de Management</t>
  </si>
  <si>
    <t>Produsele</t>
  </si>
  <si>
    <t>(6 = 5 / 4)
Stocul exprimat în luni de treatament pentru toți pacienții curenți</t>
  </si>
  <si>
    <t>Stocul exprimat în luni de treatament pentru toți pacienții curenți</t>
  </si>
  <si>
    <t>Luni pentru stocul de siguranță</t>
  </si>
  <si>
    <t xml:space="preserve">Diferența între stocul curent și stocul de siguranță </t>
  </si>
  <si>
    <t>Comentarii: P1</t>
  </si>
  <si>
    <t>Comentarii: P2</t>
  </si>
  <si>
    <t>Comentarii: P3</t>
  </si>
  <si>
    <t>Indicatorii</t>
  </si>
  <si>
    <t>Comentarii</t>
  </si>
  <si>
    <t>Indicatorii de Program</t>
  </si>
  <si>
    <t>Recomandări</t>
  </si>
  <si>
    <t>Financiar</t>
  </si>
  <si>
    <t>Sumarul comentariilor</t>
  </si>
  <si>
    <t>Programatic</t>
  </si>
  <si>
    <t>Au fost atinse țintele?</t>
  </si>
  <si>
    <t>Sunt procurarile conforme planului?</t>
  </si>
  <si>
    <t xml:space="preserve">Sursele financiare au atins nivelele de implementare și au fost utilizate în conformitate cu bugetul? </t>
  </si>
  <si>
    <t>Decizii și Acțiuni</t>
  </si>
  <si>
    <t>Care este nivelul general de implementarea a grantului?</t>
  </si>
  <si>
    <t>Decizia CNC</t>
  </si>
  <si>
    <t>Data limită</t>
  </si>
  <si>
    <t>Persoana responsabilă</t>
  </si>
  <si>
    <t>Perioada de Raportare Curentă</t>
  </si>
  <si>
    <t>Acțiuni implementate / Perioada Precedentă</t>
  </si>
  <si>
    <t>Care este nivelul general de implementare?</t>
  </si>
  <si>
    <t>Acțiuni realizate</t>
  </si>
  <si>
    <t xml:space="preserve">Data </t>
  </si>
  <si>
    <t>Perioada de Raportare Precedentă</t>
  </si>
  <si>
    <t>metode de măsurare</t>
  </si>
  <si>
    <t>Sursa de date</t>
  </si>
  <si>
    <t xml:space="preserve">Colectat anual </t>
  </si>
  <si>
    <t>Formular de notificare a cazurilor TB (089); Registrul cazurilor TB (03);
Fișa de tratament a pacienților TB (01).</t>
  </si>
  <si>
    <t>Numărător: Numărul de decese cauzate de TB (toate formele) înregistrate într-o anumită perioadă per 100,000 persoane; Numitor: Numărul total al populației în țară</t>
  </si>
  <si>
    <t>Data de introducere a informației:</t>
  </si>
  <si>
    <t xml:space="preserve">Introduceți datele financiare în celulele colorate în oranj </t>
  </si>
  <si>
    <t xml:space="preserve">Introduceți datele bazîndu-vă de celulele codificate prin culoare </t>
  </si>
  <si>
    <t>Tabelul este în mod automat reînnoit. Nu necesită introducerea datelor și/sau informației.</t>
  </si>
  <si>
    <t>Impact 1</t>
  </si>
  <si>
    <t>Utilizarea dobînzii</t>
  </si>
  <si>
    <t xml:space="preserve">Ultima debursare: Zile calendaristice </t>
  </si>
  <si>
    <t>Indicatori de Program (din Performance Framework)</t>
  </si>
  <si>
    <t xml:space="preserve">    Introduceți datele de performanță în celulele în galben.</t>
  </si>
  <si>
    <t xml:space="preserve">Colectat trimestrial și anual </t>
  </si>
  <si>
    <t>Y - nu este cumulativ</t>
  </si>
  <si>
    <t>Rezultat 2</t>
  </si>
  <si>
    <t>Rezultat 1</t>
  </si>
  <si>
    <t>Recomandările cheie a Comisiei de Supraveghere</t>
  </si>
  <si>
    <t>IP UCIMP DS</t>
  </si>
  <si>
    <t>Tsovinar Sakanyan</t>
  </si>
  <si>
    <t xml:space="preserve">                               Introduceți datele pentru management în celulele albastre</t>
  </si>
  <si>
    <t>Asigurarea accesului universal la diagnosticul la timp şi de calitate al tuturor formelor de tuberculoză, inclusiv al celor cu TB-M/EDR</t>
  </si>
  <si>
    <t>Consolidarea managementului, coordonării, monitorizării și evaluării Programului Național de control al tuberculozei</t>
  </si>
  <si>
    <t>Fortificarea managementului Programului</t>
  </si>
  <si>
    <t>Asigurarea accesului universal la tratamentul calitativ al tuturor formelor de tuberculoză, inclusiv al celor cu TB-M/EDR</t>
  </si>
  <si>
    <t>Impact 2</t>
  </si>
  <si>
    <t>Proces 1</t>
  </si>
  <si>
    <t>Numărul de cazuri de TB DR (RR-TB și/sau MDR-TB), confirmate bacteriologic, notificate</t>
  </si>
  <si>
    <t xml:space="preserve">Proces 2 </t>
  </si>
  <si>
    <t xml:space="preserve">Numărul cazurilor cu tuberculoză drog-rezistentă (RR-TB și/sau MDR-TB), confirmate bacteriologic, care au demarat tratamentul DOTS-Plus în perioada raportată                 </t>
  </si>
  <si>
    <t>Proces 3</t>
  </si>
  <si>
    <t>Proces 4</t>
  </si>
  <si>
    <t xml:space="preserve">Rezultatul interimar de abandon al tratamentului cazurilor MDR-TB: numărul și procentul pacienţilor cu tuberculoză drog-rezistentă (RR-TB și/sau MDR-TB) care au întrerupt tratamentul DOTS-Plus către luna a 6 de la demararea acestuia   </t>
  </si>
  <si>
    <t>Indicator de impact 1. Rata mortalităţii  - Numărul estimat de decese cauzate de TB (toate formele) pe an, la 100,000 persoane</t>
  </si>
  <si>
    <t xml:space="preserve">Indicator de impact 2. Prevalența TB MDR printre cazurile noi de tuberculoză </t>
  </si>
  <si>
    <t>Indicator de rezultat 1. Rata succesului tratamentului pacienților cu TB MDR</t>
  </si>
  <si>
    <t xml:space="preserve">Indicator de rezultat 2. Rata de notificare a cazurilor de tuberculoză (toate formele) per 100,000 populație        </t>
  </si>
  <si>
    <t>Indicator de proces 2. Numărul de cazuri de TB DR (RR-TB și/sau MDR-TB), confirmate bacteriologic, notificate</t>
  </si>
  <si>
    <t xml:space="preserve">Indicator de proces 3. Numărul cazurilor cu tuberculoză drog-rezistentă (RR-TB și/sau MDR-TB), confirmate bacteriologic, care au demarat tratamentul DOTS-Plus în perioada raportată                 </t>
  </si>
  <si>
    <t>Indicator de proces 4. Rezultatul interimar de abandon al tratamentului cazurilor MDR-TB</t>
  </si>
  <si>
    <t xml:space="preserve">Impact 2 </t>
  </si>
  <si>
    <t>Definiție (din M&amp;E Plan, Ianuarie 2015)</t>
  </si>
  <si>
    <t xml:space="preserve">Formular de notificare a cazurilor MDR TB (090); Registrul cazurilor MDR TB (03MDR = registru categoria IV); Fișa de tratament a pacienților MDR TB (01)  
</t>
  </si>
  <si>
    <t xml:space="preserve">Formular de notificare a cazurilor MDR TB (090); Registrul cazurilor MDR TB (03MDR = registru categoria IV); Fișa de tratament a pacienților MDR TB (01)  
</t>
  </si>
  <si>
    <t>Numărător: Numărul cazurilor noi de tuberculoză cu cultura pozitivă, testate la sensibilitate pentru preparatele de linia I, diagnosticate cu MDR; Numitor: Numărul total de cazuri noi de tuberculoză cu cultura pozitivă, testate lasensibilitate pentru preparatele de linia I, pe parcursul anului</t>
  </si>
  <si>
    <t>Proces 2</t>
  </si>
  <si>
    <t>Numărător: Toate cazurile de tuberculoză (bacteriologic confirmate și diagnosticate clinic, cazuri noi și recidive) notificate către autoritatea națională într-o perioadă anumită de timp per 100,000 populație; Numitor: Numărul total al populației în țară</t>
  </si>
  <si>
    <t xml:space="preserve">Numărător: Numărul pacienţilor cu tuberculoză drog-rezistentă (RR-TB și/sau MDR-TB) care au întrerupt tratamentul DOTS-Plus către luna a 6 de la demararea acestuia; Numitor: Numărul total de cazuri cu tuberculoză drog-rezistentă (RR-TB și/sau MDR-TB), confirmate bacteriologic, care au demarat tratamentul DOTS-Plus în perioada raportată         </t>
  </si>
  <si>
    <t xml:space="preserve">Numărător: Numărul cazurilor cu tuberculoză drog-rezistentă (RR-TB și/sau MDR-TB), confirmate bacteriologic, care au demarat tratamentul DOTS-Plus în perioada raportată; Numitor: Nu este   </t>
  </si>
  <si>
    <t xml:space="preserve">Numărător: Numărul de cazuri de TB DR (RR-TB și/sau MDR-TB), confirmate bacteriologic, notificate către autoritatea națională, în perioada raportată; Numitor: Nu este   </t>
  </si>
  <si>
    <t xml:space="preserve">Formular de notificare a cazurilor TB (089); Registrul cazurilor TB (03); Fișa de tratament a pacienților TB (01)
</t>
  </si>
  <si>
    <t xml:space="preserve">Sistemul R&amp;R TB; Rapoarte trimestriale; SYME TB; Modul DOTS Plus </t>
  </si>
  <si>
    <t>Sistemul R&amp;R TB; Rapoarte trimestriale/ anuale; Rapoarte NTP; SYME TB; Modul DOTS Plus</t>
  </si>
  <si>
    <t xml:space="preserve">Sistemul R&amp;R TB; Rapoarte anuale; Supraveghere de rutină a DR (Drog Rezistenței); SYME TB
</t>
  </si>
  <si>
    <t>Numărător: Numărul cazurilor de TB DR confirmate bacteriologic (RR-TB și/sau MDR-TB), tratate cu succes (vindecate și cu tratamente încheiate); Numitor: Numărul total de cazuri înregistrate sub DOTS Plus într-o anumită perioadă de timp (dezagregate în funcție de sex și vîrstă &lt;15, 15+)</t>
  </si>
  <si>
    <t>MDA-T-PCIMU (#678)</t>
  </si>
  <si>
    <t>Period 1</t>
  </si>
  <si>
    <t xml:space="preserve">Prevalența TB MDR printre cazurile noi de tuberculoză - Numărul cazurilor noi de tuberculoză cu cultura pozitivă, testate la sensibilitate pentru preparatele de linia I, diagnosticate cu MDR, din numărul total de cazuri noi de tuberculoză cu cultura pozitivă, testate la sensibilitate pentru preparatele de linia I, pe parcursul anului </t>
  </si>
  <si>
    <t xml:space="preserve">Rata succesului tratamentului pacienților cu TB MDR - Numărul şi procentul cazurilor de TB DR confirmate bacteriologic (RR-TB și/sau MDR-TB), tratate cu succes (vindecate și cu tratamente încheiate), din numărul total de cazuri înregistrate sub DOTS Plus într-o anumită perioadă de timp </t>
  </si>
  <si>
    <t>Toate posturile în cadrul echipei ce gestionează Grantul TB al Noului Mecanism de Finanțare sunt ocupate.</t>
  </si>
  <si>
    <t>Contractul de Sub-recipient cu IMSP IFP ”Chiril Draganiuc” a fost semnat la 24 iulie 2015 pentru realizarea activităților de colectare a sputei din teritorii către laboratoarele de referință în bacteriologia tuberculozei; transportatrea în teritorii a medicamenetelor de linia a doua și a treia pentru tratamentul pacienților cu TB DR; realizarea vizitelor de monitorizare și evaluare a activităților antituberculoase în teritorii și realizarea cursurilor de instruire.</t>
  </si>
  <si>
    <t>Rata mortalităţii  - Numărul de decese cauzate de TB (toate formele) pe an, la 100 000 persoane</t>
  </si>
  <si>
    <t xml:space="preserve">Rata de notificare a cazurilor de tuberculoză (toate formele) per 100 000 populație - Toate cazurile de tuberculoză (bacteriologic confirmate și diagnosticate clinic, cazuri noi și recidive) notificate către autoritatea națională într-o perioadă anumită de timp per 100 000 populație          </t>
  </si>
  <si>
    <t>* Include numai AFR categoriile 4,5 și 6  (Produse medicale și Echipamente medicale &amp; Medicamente și Produse farmaceutice)</t>
  </si>
  <si>
    <t xml:space="preserve">Raportul de progres standard către Secretariatul Fondului Global pentru anul 2016 a fost remis donatorului pentru examinare la 20 martie 2017. </t>
  </si>
  <si>
    <t>Evaluarea stocului de medicamente de linia a II și a III, disponibile la nivel central, precum si a livrarilor planificate arata prezența unui stock buffer între 6 și 12 de luni ce previne riscul lipsei de preparate.</t>
  </si>
  <si>
    <t xml:space="preserve">Date preliminare pentru anul 2017. 319 persoane au decedat de tuberculoză în anul 2017 (7,9 decese la 100 000 persoane). 
Notă - Ținta a fost atinsă. Se constată o micșorare cu 14,2% a ratei de mortalitate față de datele anului 2016 (372 cazuri de deces cauzate de tuberculoză), cu 21,8% a ratei de mortalitate față de datele anului 2015 (408 cazuri de deces cauzate de tuberculoză), cu 37,2% a ratei de mortalitate față de datele anului 2014 (508 cazuri de deces cauzate de tuberculoză) și cu 30% față de datele anului 2013 (456 cazuri de deces cauzate de tuberculoză). </t>
  </si>
  <si>
    <t xml:space="preserve">Date preliminare pentru anul 2017. 260 cazuri noi de tuberculoză cu cultura pozitivă, testate la sensibilitate pentru preparatele de linia I, din 1 065 investigate în 2017, au fost diagnosticate cu MDR.
Notă - Se constată menținerea unei rate înalte a TB MDR printre cazurile noi, situație caracteristică ultimilor ani. </t>
  </si>
  <si>
    <r>
      <t xml:space="preserve">Date preliminare pentru anul 2017. </t>
    </r>
    <r>
      <rPr>
        <sz val="9"/>
        <rFont val="Calibri"/>
        <family val="2"/>
      </rPr>
      <t xml:space="preserve">319 persoane au decedat de tuberculoză în anul 2017 (7,9 decese la 100 000 persoane). 
</t>
    </r>
    <r>
      <rPr>
        <b/>
        <sz val="9"/>
        <rFont val="Calibri"/>
        <family val="2"/>
        <charset val="204"/>
      </rPr>
      <t/>
    </r>
  </si>
  <si>
    <r>
      <rPr>
        <b/>
        <sz val="9"/>
        <rFont val="Calibri"/>
        <family val="2"/>
      </rPr>
      <t xml:space="preserve">Date preliminare pentru anul 2017. </t>
    </r>
    <r>
      <rPr>
        <sz val="9"/>
        <rFont val="Calibri"/>
        <family val="2"/>
      </rPr>
      <t xml:space="preserve">260 cazuri noi de tuberculoză cu cultura pozitivă, testate la sensibilitate pentru preparatele de linia I, din 1 065 investigate în 2017, au fost diagnosticate cu MDR.
</t>
    </r>
    <r>
      <rPr>
        <b/>
        <sz val="9"/>
        <rFont val="Calibri"/>
        <family val="2"/>
        <charset val="204"/>
      </rPr>
      <t/>
    </r>
  </si>
  <si>
    <r>
      <t xml:space="preserve">Date preliminare pentru cohorta MDR-TB 2014. </t>
    </r>
    <r>
      <rPr>
        <sz val="9"/>
        <rFont val="Calibri"/>
        <family val="2"/>
      </rPr>
      <t xml:space="preserve">461 cazuri confirmate de TB MDR, din 928 incluse în tratmentul DOTS Plus în anul 2014, au fost tratate cu succes (vindecate și cu tratamente încheiate).  </t>
    </r>
    <r>
      <rPr>
        <b/>
        <sz val="9"/>
        <rFont val="Calibri"/>
        <family val="2"/>
      </rPr>
      <t xml:space="preserve">            </t>
    </r>
    <r>
      <rPr>
        <sz val="9"/>
        <rFont val="Calibri"/>
        <family val="2"/>
      </rPr>
      <t xml:space="preserve">                                                                            
</t>
    </r>
    <r>
      <rPr>
        <b/>
        <sz val="9"/>
        <rFont val="Calibri"/>
        <family val="2"/>
        <charset val="204"/>
      </rPr>
      <t/>
    </r>
  </si>
  <si>
    <t xml:space="preserve">Date preliminare pentru cohorta MDR-TB 2014. 461 cazuri confirmate de TB MDR, din 928 incluse în tratmentul DOTS Plus în anul 2014, au fost tratate cu succes (vindecate și cu tratamente încheiate).                                                                                  
Notă - Totodată, rata de eșec înregistrată a fost de 15,5% (144/928), rata de abandon de 20,1% (186/928) și rata de deces de 14,3% (133/928). În același timp, analiza ratei succesului pe diferite categorii de pacienți a arătat o diferență între cazurile noi și cele de retratament. Astfel, rata de succes printre cazurile noi TB a constituit 63,4% (258/407), atunci cînd printre cele de retratament - 38,9% (203/521). De asemenea, rata de eșec înregistrată printre cazurile noi a fost de 9,8% (40/407) și printre retratamente - 19,9% (104/521); rata de abandon - 14,7% (60/407) și 24,2% (126/521) respectiv; și rata de deces - 11,8% (48/407) și 16,3% (85/521) respectiv. La fel, stratificarea rezultatului de tratament printre cazurile anterior tratate arată o rată de succes de 50,7% (111/219) printre recidive, 26,3% (42/160) printre cazurile revenite după abandon și 22,4% (15/67) printre cazurile după eșec.  </t>
  </si>
  <si>
    <r>
      <rPr>
        <sz val="10"/>
        <rFont val="Calibri"/>
        <family val="2"/>
      </rPr>
      <t>Date preliminare pentru anul 2017. 3 358 cazuri de tuberculoză (toate formele, bacteriologic confirmate și diagnosticate clinic, cazuri noi și recidive) au fost notificate către autoritatea națională în anul 2017.                                                                                                      Notă - Se constată o descreștere continuă a ratei de notificare înregistrate, precum urmează: cu 6% comparativ cu datele anului 2016 (88,63 per 100 000), cu 7% comparativ cu 2015 (89,5 per 100 000), cu 10% comparativ cu 2014 (92,5 per 100 000), cu 14,7% comparativ cu 2013 (97,6 per 100 000) și cu 18,9% comparativ cu anul 2012 (102,7 per 100 000).</t>
    </r>
    <r>
      <rPr>
        <b/>
        <sz val="10"/>
        <color rgb="FFFF0000"/>
        <rFont val="Calibri"/>
        <family val="2"/>
      </rPr>
      <t xml:space="preserve">    </t>
    </r>
  </si>
  <si>
    <r>
      <rPr>
        <sz val="10"/>
        <rFont val="Calibri"/>
        <family val="2"/>
      </rPr>
      <t xml:space="preserve">Date finale pentru anul 2016. 1 031 pacienți cu tuberculoză drog-rezistentă (RR-TB și/sau MDR-TB), confirmate bacteriologic, au fost notificate, față de 868 cazuri estimate pentru perioada raportată.                                                    
Notă - Reducerea numărului de pacienți MDR TB notificați este în directă corespundere cu scăderea incidenței TB.           </t>
    </r>
    <r>
      <rPr>
        <b/>
        <sz val="10"/>
        <color rgb="FFFF0000"/>
        <rFont val="Calibri"/>
        <family val="2"/>
      </rPr>
      <t xml:space="preserve">                                                                                                     </t>
    </r>
  </si>
  <si>
    <r>
      <rPr>
        <sz val="10"/>
        <rFont val="Calibri"/>
        <family val="2"/>
      </rPr>
      <t xml:space="preserve">Date preliminare pentru anul 2017. 976 (și anume: 257 în Q1.2017, 251 în Q2.2017, 231 în Q3.2017 și 237 în Q4.2017) cu tuberculoză drog-rezistentă (RR-TB și/sau MDR-TB), confirmate bacteriologic, au demarat tratamentul DOTS-Plus în anul 2017, față de 730 pacienți preconizați pentru perioada raportată.                                                           Notă - Ținta a fost depășită din cauza includerii în tratamentul DOTS Plus a unui număr adițional de pacienți MDR TB în locul cazurilor de eșec, mortalitate sau pierdute din supraveghere înregistrate. </t>
    </r>
    <r>
      <rPr>
        <b/>
        <sz val="10"/>
        <color rgb="FFFF0000"/>
        <rFont val="Calibri"/>
        <family val="2"/>
      </rPr>
      <t xml:space="preserve">      </t>
    </r>
  </si>
  <si>
    <t xml:space="preserve">Date finale pentru cohorta anului 2016. 103 pacienți din 1 039 incluși în tratamentul DOTS Plus în anul 2016, au abandonat tratamentul către luna a 6 de la demararea tratamentului DOTS Plus.                    
Notă - Analiza cazurilor care au abandonat tratamentul pentru DR-TB ne arată că există o diferență a ratei abandonului printre diferite categorii de pacienți. Astfel, rata interimară de abandon printre cazurile noi de pacienți cu DR-TB aflați în tratament a constituit doar 7% (31/444), pe când printre cazurile de retratamente aceasta a constituit 12% (70/583). Totodată, analizând rata interimară de abandon printre cazurile anterior tratate de pacienții cu DR-TB, se observă că aceasta, la fel, s-a deosebit la diferite tipuri de pacienți: dacă la cazurile după eșec aceasta a fost de 7.3% (15/205), atunci  printre recidive a ajuns la 10,1% (24/237) și printre cazurile după abandon - la 22% (31/141). </t>
  </si>
  <si>
    <t>Angajamente</t>
  </si>
  <si>
    <t>RP avea la 31 decembrie 2017 angajamente semnate pentru livrarea medicamentelor in suma de 1 594 928,51 USD.</t>
  </si>
  <si>
    <t>Cheltuielile și debursările Recipientului Principal pentru perioada raportată au constituit 2.758.833,41 EURO. Cumulativ, pentru întreaga perioadă de realizare a Grantului, au fost cheltuiți 7.482.136,43 EURO față de 7.957.827,08 EURO bugetați, ceea ce constituie 94%. Variația înregistrată se datorează: în mare parte, prețurilor și cantităților mai mici pentru medicamentele antituberculoase destinate tratamentului TB MDR și EDR (2.216.790,55 EURO); prețurilor mai mici decât cele bugetate pentru echipamentul de laborator (50.304,45 EURO); cantităților mai mici de consumabile pentru izolarea tulpinilor, culturi lichide și teste de sensibilitate pentru tehnica MGIT (50.354,92 EURO).</t>
  </si>
  <si>
    <t>Variația</t>
  </si>
  <si>
    <t>%</t>
  </si>
  <si>
    <t>Toate cele trei condiții precedente stipulate în Acordul de Grant au fost îndeplinite.</t>
  </si>
  <si>
    <t>În perioada raportată, Sub-Recipientul a prezentat, în conformitate cu Acordul, două rapoarte trimestriale și raportul cumulativ anual pentru 2017.</t>
  </si>
  <si>
    <t>Catre 31 decembrie 2017, au fost debursați 7 919 803,5 EURO, inclusiv 2 578 990,5 EURO în perioada raportată.</t>
  </si>
  <si>
    <r>
      <t xml:space="preserve">Cumulativ pentru înreaga perioadă de realizare a Grantului, </t>
    </r>
    <r>
      <rPr>
        <sz val="7.7"/>
        <rFont val="Calibri"/>
        <family val="2"/>
        <charset val="204"/>
      </rPr>
      <t xml:space="preserve">în 
cadrul activităților din Obiectivul I, au fost valorificati 2935430,52 EUR față de 2935430,52 EUR bugetați (93,7%).
În cadrul activităților din Obiectivul II, au fost valorificati 4026738,65 EUR față de 4305987,92 EUR bugetați (93,5%).
În cadrul activităților din Obiectivul V, au fost valorificati 229938,58 EUR față de 276154,04 EUR bugetați (83,6%).
În cadrul activităților Managementului Proiectului, au fost valorificati 447510,94 EUR față de 441257,60 EUR bugetați (101,4%).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</si>
</sst>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_);_(* \(#,##0.00\);_(* &quot;-&quot;??_);_(@_)"/>
    <numFmt numFmtId="165" formatCode="&quot;Q&quot;#,##0_);[Red]\(&quot;Q&quot;#,##0\)"/>
    <numFmt numFmtId="166" formatCode="_(* #,##0_);_(* \(#,##0\);_(* &quot;-&quot;??_);_(@_)"/>
    <numFmt numFmtId="167" formatCode=";;;"/>
    <numFmt numFmtId="168" formatCode="0.0"/>
    <numFmt numFmtId="169" formatCode=";;;&quot;Financial Variance in %&quot;"/>
    <numFmt numFmtId="170" formatCode="[$$-409]#,##0_);\([$$-409]#,##0\)"/>
    <numFmt numFmtId="171" formatCode="dd/mm/yy;@"/>
    <numFmt numFmtId="172" formatCode="_-[$€-2]\ * #,##0_-;\-[$€-2]\ * #,##0_-;_-[$€-2]\ * &quot;-&quot;_-;_-@_-"/>
    <numFmt numFmtId="173" formatCode="[$€-2]\ #,##0"/>
    <numFmt numFmtId="174" formatCode="#,##0.00_р_."/>
    <numFmt numFmtId="175" formatCode="#,##0.0"/>
    <numFmt numFmtId="176" formatCode="0.0%"/>
  </numFmts>
  <fonts count="137">
    <font>
      <sz val="11"/>
      <color theme="1"/>
      <name val="Calibri"/>
      <family val="2"/>
      <scheme val="minor"/>
    </font>
    <font>
      <sz val="11"/>
      <color indexed="8"/>
      <name val="Calibri"/>
      <family val="2"/>
    </font>
    <font>
      <sz val="10"/>
      <name val="Arial"/>
      <family val="2"/>
    </font>
    <font>
      <sz val="11"/>
      <color indexed="8"/>
      <name val="Calibri"/>
      <family val="2"/>
    </font>
    <font>
      <sz val="11"/>
      <color indexed="60"/>
      <name val="Calibri"/>
      <family val="2"/>
    </font>
    <font>
      <b/>
      <sz val="11"/>
      <color indexed="52"/>
      <name val="Calibri"/>
      <family val="2"/>
    </font>
    <font>
      <sz val="11"/>
      <color indexed="10"/>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sz val="9"/>
      <color indexed="8"/>
      <name val="Verdana"/>
      <family val="2"/>
    </font>
    <font>
      <b/>
      <sz val="10"/>
      <color indexed="63"/>
      <name val="Verdana"/>
      <family val="2"/>
    </font>
    <font>
      <sz val="8"/>
      <color indexed="8"/>
      <name val="Verdana"/>
      <family val="2"/>
    </font>
    <font>
      <b/>
      <sz val="8"/>
      <color indexed="9"/>
      <name val="Tahoma"/>
      <family val="2"/>
    </font>
    <font>
      <sz val="8"/>
      <name val="Webdings"/>
      <family val="1"/>
      <charset val="2"/>
    </font>
    <font>
      <sz val="10"/>
      <name val="Micro Bar Charts 1.1"/>
    </font>
    <font>
      <sz val="9"/>
      <name val="Tahoma"/>
      <family val="2"/>
    </font>
    <font>
      <b/>
      <sz val="8"/>
      <name val="Tahoma"/>
      <family val="2"/>
    </font>
    <font>
      <sz val="14"/>
      <color indexed="9"/>
      <name val="Calibri"/>
      <family val="2"/>
    </font>
    <font>
      <sz val="14"/>
      <name val="Calibri"/>
      <family val="2"/>
    </font>
    <font>
      <sz val="11"/>
      <color indexed="8"/>
      <name val="Arial"/>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10"/>
      <name val="Arial"/>
      <family val="2"/>
    </font>
    <font>
      <b/>
      <sz val="12"/>
      <color indexed="56"/>
      <name val="Tahoma"/>
      <family val="2"/>
    </font>
    <font>
      <b/>
      <sz val="10"/>
      <name val="Verdana"/>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b/>
      <sz val="11"/>
      <color indexed="8"/>
      <name val="Calibri"/>
      <family val="2"/>
      <charset val="204"/>
    </font>
    <font>
      <sz val="11"/>
      <color indexed="8"/>
      <name val="Calibri"/>
      <family val="2"/>
    </font>
    <font>
      <b/>
      <sz val="14"/>
      <color indexed="14"/>
      <name val="Calibri"/>
      <family val="2"/>
      <charset val="204"/>
    </font>
    <font>
      <b/>
      <sz val="10"/>
      <color indexed="53"/>
      <name val="Calibri"/>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10"/>
      <name val="Arial"/>
      <family val="2"/>
      <charset val="204"/>
    </font>
    <font>
      <b/>
      <sz val="14"/>
      <color indexed="44"/>
      <name val="Calibri"/>
      <family val="2"/>
      <charset val="204"/>
    </font>
    <font>
      <sz val="9"/>
      <color indexed="8"/>
      <name val="Calibri"/>
      <family val="2"/>
    </font>
    <font>
      <b/>
      <sz val="11"/>
      <name val="Arial"/>
      <family val="2"/>
    </font>
    <font>
      <sz val="11"/>
      <color theme="1"/>
      <name val="Calibri"/>
      <family val="2"/>
      <scheme val="minor"/>
    </font>
    <font>
      <sz val="10"/>
      <color theme="1"/>
      <name val="Calibri"/>
      <family val="2"/>
      <scheme val="minor"/>
    </font>
    <font>
      <sz val="11"/>
      <name val="Calibri"/>
      <family val="2"/>
      <scheme val="minor"/>
    </font>
    <font>
      <b/>
      <sz val="10"/>
      <color rgb="FFFF0000"/>
      <name val="Calibri"/>
      <family val="2"/>
    </font>
    <font>
      <b/>
      <sz val="10"/>
      <color theme="1"/>
      <name val="Calibri"/>
      <family val="2"/>
      <charset val="204"/>
      <scheme val="minor"/>
    </font>
    <font>
      <sz val="11"/>
      <color rgb="FF7030A0"/>
      <name val="Calibri"/>
      <family val="2"/>
    </font>
    <font>
      <sz val="11"/>
      <color theme="1"/>
      <name val="Calibri"/>
      <family val="2"/>
    </font>
    <font>
      <sz val="22"/>
      <color theme="0"/>
      <name val="Calibri"/>
      <family val="2"/>
      <charset val="204"/>
    </font>
    <font>
      <sz val="14"/>
      <color theme="0"/>
      <name val="Calibri"/>
      <family val="2"/>
    </font>
    <font>
      <i/>
      <sz val="11"/>
      <name val="Calibri"/>
      <family val="2"/>
    </font>
    <font>
      <b/>
      <sz val="10"/>
      <name val="Arial"/>
      <family val="2"/>
      <charset val="204"/>
    </font>
    <font>
      <sz val="7"/>
      <name val="Verdana"/>
      <family val="2"/>
    </font>
    <font>
      <sz val="11"/>
      <name val="Micro Line Charts 1.1"/>
      <family val="2"/>
    </font>
    <font>
      <sz val="8"/>
      <name val="Micro Bar Charts 1.1"/>
    </font>
    <font>
      <b/>
      <sz val="12"/>
      <name val="Tahoma"/>
      <family val="2"/>
    </font>
    <font>
      <b/>
      <sz val="8"/>
      <name val="Calibri"/>
      <family val="2"/>
    </font>
    <font>
      <sz val="8"/>
      <name val="Arial"/>
      <family val="2"/>
    </font>
    <font>
      <sz val="8"/>
      <name val="Tahoma"/>
      <family val="2"/>
    </font>
    <font>
      <b/>
      <sz val="8"/>
      <name val="Verdana"/>
      <family val="2"/>
    </font>
    <font>
      <sz val="11"/>
      <color rgb="FF0070C0"/>
      <name val="Calibri"/>
      <family val="2"/>
      <scheme val="minor"/>
    </font>
    <font>
      <sz val="11"/>
      <color rgb="FF7030A0"/>
      <name val="Calibri"/>
      <family val="2"/>
      <scheme val="minor"/>
    </font>
    <font>
      <sz val="11"/>
      <name val="Calibri"/>
      <family val="2"/>
      <charset val="204"/>
      <scheme val="minor"/>
    </font>
    <font>
      <sz val="11"/>
      <color theme="1"/>
      <name val="Arial"/>
      <family val="2"/>
    </font>
    <font>
      <sz val="11"/>
      <color rgb="FFFF0000"/>
      <name val="Calibri"/>
      <family val="2"/>
      <scheme val="minor"/>
    </font>
    <font>
      <sz val="9"/>
      <name val="Calibri"/>
      <family val="2"/>
    </font>
    <font>
      <sz val="8"/>
      <name val="Calibri"/>
      <family val="2"/>
      <charset val="204"/>
    </font>
    <font>
      <sz val="7.7"/>
      <name val="Calibri"/>
      <family val="2"/>
      <charset val="204"/>
    </font>
    <font>
      <sz val="7.7"/>
      <name val="Calibri"/>
      <family val="2"/>
      <charset val="204"/>
      <scheme val="minor"/>
    </font>
    <font>
      <b/>
      <sz val="9"/>
      <name val="Calibri"/>
      <family val="2"/>
      <charset val="204"/>
    </font>
    <font>
      <sz val="10"/>
      <color rgb="FFFF0000"/>
      <name val="Calibri"/>
      <family val="2"/>
    </font>
    <font>
      <sz val="9"/>
      <name val="Calibri"/>
      <family val="2"/>
      <scheme val="minor"/>
    </font>
    <font>
      <sz val="7.7"/>
      <name val="Calibri"/>
      <family val="2"/>
    </font>
  </fonts>
  <fills count="24">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gray0625">
        <fgColor indexed="52"/>
        <bgColor indexed="43"/>
      </patternFill>
    </fill>
    <fill>
      <patternFill patternType="solid">
        <fgColor indexed="11"/>
        <bgColor indexed="64"/>
      </patternFill>
    </fill>
    <fill>
      <patternFill patternType="solid">
        <fgColor indexed="47"/>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13"/>
        <bgColor indexed="64"/>
      </patternFill>
    </fill>
    <fill>
      <patternFill patternType="solid">
        <fgColor theme="0"/>
        <bgColor indexed="64"/>
      </patternFill>
    </fill>
    <fill>
      <patternFill patternType="gray0625">
        <fgColor theme="9"/>
      </patternFill>
    </fill>
    <fill>
      <patternFill patternType="gray0625">
        <fgColor theme="9"/>
        <bgColor indexed="43"/>
      </patternFill>
    </fill>
    <fill>
      <patternFill patternType="solid">
        <fgColor indexed="43"/>
        <bgColor theme="0"/>
      </patternFill>
    </fill>
    <fill>
      <patternFill patternType="solid">
        <fgColor rgb="FFFF0000"/>
        <bgColor indexed="64"/>
      </patternFill>
    </fill>
    <fill>
      <patternFill patternType="solid">
        <fgColor theme="8" tint="0.59999389629810485"/>
        <bgColor indexed="64"/>
      </patternFill>
    </fill>
  </fills>
  <borders count="231">
    <border>
      <left/>
      <right/>
      <top/>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thin">
        <color indexed="64"/>
      </right>
      <top style="thin">
        <color indexed="64"/>
      </top>
      <bottom style="medium">
        <color indexed="16"/>
      </bottom>
      <diagonal/>
    </border>
    <border>
      <left style="thin">
        <color indexed="64"/>
      </left>
      <right style="medium">
        <color indexed="60"/>
      </right>
      <top style="thin">
        <color indexed="64"/>
      </top>
      <bottom style="thin">
        <color indexed="64"/>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right style="medium">
        <color indexed="64"/>
      </right>
      <top style="thin">
        <color indexed="64"/>
      </top>
      <bottom style="thin">
        <color indexed="64"/>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style="thin">
        <color indexed="64"/>
      </left>
      <right style="thin">
        <color indexed="64"/>
      </right>
      <top style="thin">
        <color indexed="64"/>
      </top>
      <bottom style="medium">
        <color indexed="51"/>
      </bottom>
      <diagonal/>
    </border>
    <border>
      <left style="thin">
        <color indexed="64"/>
      </left>
      <right style="medium">
        <color indexed="51"/>
      </right>
      <top style="thin">
        <color indexed="64"/>
      </top>
      <bottom style="medium">
        <color indexed="51"/>
      </bottom>
      <diagonal/>
    </border>
    <border>
      <left/>
      <right/>
      <top style="medium">
        <color indexed="51"/>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51"/>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medium">
        <color indexed="51"/>
      </left>
      <right style="medium">
        <color indexed="51"/>
      </right>
      <top style="thin">
        <color indexed="64"/>
      </top>
      <bottom/>
      <diagonal/>
    </border>
    <border>
      <left style="medium">
        <color indexed="51"/>
      </left>
      <right style="medium">
        <color indexed="51"/>
      </right>
      <top style="medium">
        <color indexed="51"/>
      </top>
      <bottom/>
      <diagonal/>
    </border>
    <border>
      <left style="medium">
        <color indexed="60"/>
      </left>
      <right style="dotted">
        <color indexed="64"/>
      </right>
      <top style="medium">
        <color indexed="60"/>
      </top>
      <bottom/>
      <diagonal/>
    </border>
    <border>
      <left style="dotted">
        <color indexed="64"/>
      </left>
      <right style="dotted">
        <color indexed="64"/>
      </right>
      <top style="medium">
        <color indexed="52"/>
      </top>
      <bottom/>
      <diagonal/>
    </border>
    <border>
      <left style="medium">
        <color indexed="60"/>
      </left>
      <right style="dotted">
        <color indexed="64"/>
      </right>
      <top/>
      <bottom style="medium">
        <color indexed="60"/>
      </bottom>
      <diagonal/>
    </border>
    <border>
      <left style="dotted">
        <color indexed="64"/>
      </left>
      <right style="dotted">
        <color indexed="64"/>
      </right>
      <top/>
      <bottom style="medium">
        <color indexed="52"/>
      </bottom>
      <diagonal/>
    </border>
    <border>
      <left style="medium">
        <color indexed="60"/>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2"/>
      </left>
      <right/>
      <top style="medium">
        <color indexed="62"/>
      </top>
      <bottom/>
      <diagonal/>
    </border>
    <border>
      <left style="dotted">
        <color indexed="62"/>
      </left>
      <right style="dotted">
        <color indexed="64"/>
      </right>
      <top style="medium">
        <color indexed="62"/>
      </top>
      <bottom/>
      <diagonal/>
    </border>
    <border>
      <left style="medium">
        <color indexed="62"/>
      </left>
      <right/>
      <top/>
      <bottom style="medium">
        <color indexed="62"/>
      </bottom>
      <diagonal/>
    </border>
    <border>
      <left style="dotted">
        <color indexed="62"/>
      </left>
      <right style="dotted">
        <color indexed="64"/>
      </right>
      <top/>
      <bottom style="medium">
        <color indexed="62"/>
      </bottom>
      <diagonal/>
    </border>
    <border>
      <left style="medium">
        <color indexed="62"/>
      </left>
      <right/>
      <top style="thin">
        <color indexed="64"/>
      </top>
      <bottom style="thin">
        <color indexed="64"/>
      </bottom>
      <diagonal/>
    </border>
    <border>
      <left style="dotted">
        <color indexed="62"/>
      </left>
      <right style="dotted">
        <color indexed="64"/>
      </right>
      <top style="thin">
        <color indexed="64"/>
      </top>
      <bottom style="thin">
        <color indexed="64"/>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style="thin">
        <color indexed="64"/>
      </top>
      <bottom style="medium">
        <color indexed="60"/>
      </bottom>
      <diagonal/>
    </border>
    <border>
      <left style="thin">
        <color indexed="64"/>
      </left>
      <right style="medium">
        <color indexed="16"/>
      </right>
      <top style="thin">
        <color indexed="64"/>
      </top>
      <bottom style="medium">
        <color indexed="16"/>
      </bottom>
      <diagonal/>
    </border>
    <border>
      <left style="thin">
        <color indexed="64"/>
      </left>
      <right style="medium">
        <color indexed="48"/>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51"/>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style="medium">
        <color indexed="51"/>
      </right>
      <top style="thin">
        <color indexed="64"/>
      </top>
      <bottom style="thin">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top style="thin">
        <color indexed="64"/>
      </top>
      <bottom/>
      <diagonal/>
    </border>
    <border>
      <left/>
      <right style="medium">
        <color indexed="51"/>
      </right>
      <top style="thin">
        <color indexed="64"/>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right style="medium">
        <color indexed="51"/>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ck">
        <color indexed="9"/>
      </left>
      <right/>
      <top/>
      <bottom/>
      <diagonal/>
    </border>
    <border>
      <left/>
      <right/>
      <top style="hair">
        <color indexed="23"/>
      </top>
      <bottom/>
      <diagonal/>
    </border>
    <border>
      <left/>
      <right style="medium">
        <color indexed="60"/>
      </right>
      <top style="hair">
        <color indexed="23"/>
      </top>
      <bottom/>
      <diagonal/>
    </border>
    <border>
      <left style="medium">
        <color indexed="51"/>
      </left>
      <right/>
      <top style="medium">
        <color indexed="51"/>
      </top>
      <bottom/>
      <diagonal/>
    </border>
    <border>
      <left/>
      <right style="medium">
        <color indexed="51"/>
      </right>
      <top style="medium">
        <color indexed="51"/>
      </top>
      <bottom/>
      <diagonal/>
    </border>
    <border>
      <left/>
      <right/>
      <top/>
      <bottom style="medium">
        <color indexed="62"/>
      </bottom>
      <diagonal/>
    </border>
    <border>
      <left/>
      <right style="medium">
        <color indexed="62"/>
      </right>
      <top/>
      <bottom style="medium">
        <color indexed="62"/>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right/>
      <top style="hair">
        <color indexed="64"/>
      </top>
      <bottom style="hair">
        <color indexed="64"/>
      </bottom>
      <diagonal/>
    </border>
    <border>
      <left/>
      <right style="medium">
        <color indexed="60"/>
      </right>
      <top style="thin">
        <color indexed="64"/>
      </top>
      <bottom style="thin">
        <color indexed="64"/>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right style="medium">
        <color indexed="62"/>
      </right>
      <top style="thin">
        <color indexed="64"/>
      </top>
      <bottom style="thin">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60"/>
      </left>
      <right/>
      <top/>
      <bottom style="medium">
        <color indexed="60"/>
      </bottom>
      <diagonal/>
    </border>
    <border>
      <left/>
      <right style="medium">
        <color indexed="60"/>
      </right>
      <top/>
      <bottom style="medium">
        <color indexed="60"/>
      </bottom>
      <diagonal/>
    </border>
    <border>
      <left/>
      <right/>
      <top style="medium">
        <color indexed="62"/>
      </top>
      <bottom/>
      <diagonal/>
    </border>
    <border>
      <left/>
      <right style="medium">
        <color indexed="62"/>
      </right>
      <top style="medium">
        <color indexed="62"/>
      </top>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medium">
        <color indexed="64"/>
      </bottom>
      <diagonal/>
    </border>
    <border>
      <left style="medium">
        <color indexed="57"/>
      </left>
      <right style="hair">
        <color indexed="57"/>
      </right>
      <top style="medium">
        <color indexed="57"/>
      </top>
      <bottom style="medium">
        <color indexed="57"/>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style="hair">
        <color indexed="57"/>
      </left>
      <right style="medium">
        <color indexed="57"/>
      </right>
      <top style="medium">
        <color indexed="57"/>
      </top>
      <bottom style="medium">
        <color indexed="57"/>
      </bottom>
      <diagonal/>
    </border>
    <border>
      <left style="thin">
        <color indexed="64"/>
      </left>
      <right/>
      <top style="medium">
        <color indexed="57"/>
      </top>
      <bottom/>
      <diagonal/>
    </border>
    <border>
      <left style="thin">
        <color indexed="64"/>
      </left>
      <right style="thin">
        <color indexed="64"/>
      </right>
      <top/>
      <bottom style="medium">
        <color indexed="16"/>
      </bottom>
      <diagonal/>
    </border>
    <border>
      <left style="medium">
        <color indexed="5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style="medium">
        <color indexed="51"/>
      </right>
      <top style="thin">
        <color indexed="64"/>
      </top>
      <bottom style="thin">
        <color theme="1"/>
      </bottom>
      <diagonal/>
    </border>
    <border>
      <left/>
      <right style="thin">
        <color indexed="64"/>
      </right>
      <top style="thin">
        <color indexed="64"/>
      </top>
      <bottom style="thin">
        <color theme="1"/>
      </bottom>
      <diagonal/>
    </border>
    <border>
      <left style="medium">
        <color indexed="51"/>
      </left>
      <right style="medium">
        <color indexed="51"/>
      </right>
      <top style="thin">
        <color theme="1"/>
      </top>
      <bottom style="thin">
        <color theme="1"/>
      </bottom>
      <diagonal/>
    </border>
    <border>
      <left/>
      <right style="thin">
        <color indexed="64"/>
      </right>
      <top style="thin">
        <color theme="1"/>
      </top>
      <bottom style="thin">
        <color theme="1"/>
      </bottom>
      <diagonal/>
    </border>
    <border>
      <left style="medium">
        <color indexed="51"/>
      </left>
      <right style="thin">
        <color indexed="64"/>
      </right>
      <top/>
      <bottom style="medium">
        <color indexed="51"/>
      </bottom>
      <diagonal/>
    </border>
    <border>
      <left style="medium">
        <color indexed="51"/>
      </left>
      <right style="medium">
        <color indexed="51"/>
      </right>
      <top/>
      <bottom style="medium">
        <color indexed="51"/>
      </bottom>
      <diagonal/>
    </border>
    <border>
      <left style="thin">
        <color indexed="16"/>
      </left>
      <right style="thin">
        <color indexed="16"/>
      </right>
      <top style="thin">
        <color indexed="16"/>
      </top>
      <bottom style="thin">
        <color indexed="64"/>
      </bottom>
      <diagonal/>
    </border>
  </borders>
  <cellStyleXfs count="24">
    <xf numFmtId="170" fontId="0" fillId="0" borderId="0"/>
    <xf numFmtId="164" fontId="3" fillId="0" borderId="0" applyFont="0" applyFill="0" applyBorder="0" applyAlignment="0" applyProtection="0"/>
    <xf numFmtId="170" fontId="2" fillId="0" borderId="0" applyFont="0" applyFill="0" applyBorder="0" applyAlignment="0" applyProtection="0"/>
    <xf numFmtId="164" fontId="2" fillId="0" borderId="0" applyFill="0" applyBorder="0" applyAlignment="0" applyProtection="0"/>
    <xf numFmtId="164" fontId="105"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64" fontId="1" fillId="0" borderId="0"/>
    <xf numFmtId="164" fontId="1" fillId="0" borderId="0"/>
    <xf numFmtId="164" fontId="105" fillId="0" borderId="0"/>
    <xf numFmtId="164" fontId="105" fillId="0" borderId="0"/>
    <xf numFmtId="164" fontId="105" fillId="0" borderId="0"/>
    <xf numFmtId="164" fontId="105" fillId="0" borderId="0"/>
    <xf numFmtId="170" fontId="45" fillId="0" borderId="0"/>
    <xf numFmtId="9" fontId="3" fillId="0" borderId="0" applyFont="0" applyFill="0" applyBorder="0" applyAlignment="0" applyProtection="0"/>
    <xf numFmtId="164" fontId="105" fillId="0" borderId="1" applyNumberFormat="0" applyFill="0" applyAlignment="0" applyProtection="0"/>
    <xf numFmtId="164" fontId="1" fillId="0" borderId="1" applyNumberFormat="0" applyFill="0" applyAlignment="0" applyProtection="0"/>
    <xf numFmtId="164" fontId="1" fillId="0" borderId="1" applyNumberFormat="0" applyFill="0" applyAlignment="0" applyProtection="0"/>
    <xf numFmtId="164" fontId="105" fillId="0" borderId="1" applyNumberFormat="0" applyFill="0" applyAlignment="0" applyProtection="0"/>
  </cellStyleXfs>
  <cellXfs count="984">
    <xf numFmtId="170" fontId="0" fillId="0" borderId="0" xfId="0"/>
    <xf numFmtId="164" fontId="9" fillId="0" borderId="0" xfId="4" applyFont="1" applyFill="1" applyAlignment="1">
      <alignment vertical="center"/>
    </xf>
    <xf numFmtId="170" fontId="0" fillId="0" borderId="0" xfId="0" applyBorder="1" applyProtection="1"/>
    <xf numFmtId="170" fontId="0" fillId="0" borderId="0" xfId="0" applyProtection="1"/>
    <xf numFmtId="164" fontId="15" fillId="0" borderId="0" xfId="4" applyFont="1" applyFill="1" applyAlignment="1" applyProtection="1">
      <alignment vertical="center"/>
    </xf>
    <xf numFmtId="170" fontId="14" fillId="0" borderId="0" xfId="0" applyFont="1" applyProtection="1"/>
    <xf numFmtId="164" fontId="12" fillId="0" borderId="0" xfId="15" applyFont="1" applyFill="1" applyAlignment="1" applyProtection="1"/>
    <xf numFmtId="164" fontId="12" fillId="0" borderId="0" xfId="15" applyFont="1" applyFill="1" applyAlignment="1" applyProtection="1">
      <alignment horizontal="center"/>
    </xf>
    <xf numFmtId="164" fontId="12" fillId="0" borderId="0" xfId="15" applyFont="1" applyFill="1" applyAlignment="1" applyProtection="1">
      <alignment horizontal="right"/>
    </xf>
    <xf numFmtId="164" fontId="12" fillId="0" borderId="0" xfId="15" applyFont="1" applyFill="1" applyBorder="1" applyAlignment="1" applyProtection="1">
      <alignment horizontal="center"/>
    </xf>
    <xf numFmtId="164" fontId="105" fillId="0" borderId="0" xfId="14" applyProtection="1"/>
    <xf numFmtId="164" fontId="8" fillId="0" borderId="0" xfId="14" applyFont="1" applyProtection="1"/>
    <xf numFmtId="170" fontId="11" fillId="0" borderId="0" xfId="14" applyNumberFormat="1" applyFont="1" applyBorder="1" applyProtection="1"/>
    <xf numFmtId="164" fontId="105" fillId="0" borderId="0" xfId="16" applyProtection="1"/>
    <xf numFmtId="164" fontId="105" fillId="0" borderId="0" xfId="16" applyFill="1" applyBorder="1" applyAlignment="1" applyProtection="1">
      <alignment horizontal="left"/>
    </xf>
    <xf numFmtId="170" fontId="0" fillId="0" borderId="0" xfId="0" applyFill="1" applyBorder="1" applyProtection="1"/>
    <xf numFmtId="164" fontId="105" fillId="0" borderId="0" xfId="16" applyFill="1" applyBorder="1" applyProtection="1"/>
    <xf numFmtId="170" fontId="8" fillId="0" borderId="0" xfId="0" applyFont="1" applyProtection="1"/>
    <xf numFmtId="164" fontId="8" fillId="0" borderId="0" xfId="16" applyFont="1" applyProtection="1"/>
    <xf numFmtId="170" fontId="0" fillId="0" borderId="0" xfId="0" applyBorder="1"/>
    <xf numFmtId="170" fontId="0" fillId="0" borderId="0" xfId="0" applyFill="1" applyBorder="1"/>
    <xf numFmtId="15" fontId="22" fillId="0" borderId="0" xfId="0" applyNumberFormat="1" applyFont="1" applyFill="1" applyBorder="1" applyAlignment="1" applyProtection="1">
      <alignment horizontal="center" vertical="center" wrapText="1"/>
      <protection locked="0"/>
    </xf>
    <xf numFmtId="164" fontId="21" fillId="0" borderId="0" xfId="0" applyNumberFormat="1" applyFont="1"/>
    <xf numFmtId="164" fontId="21" fillId="0" borderId="0" xfId="0" applyNumberFormat="1" applyFont="1" applyAlignment="1">
      <alignment horizontal="right"/>
    </xf>
    <xf numFmtId="166" fontId="21" fillId="0" borderId="0" xfId="1" applyNumberFormat="1" applyFont="1" applyAlignment="1">
      <alignment horizontal="left"/>
    </xf>
    <xf numFmtId="164" fontId="9" fillId="0" borderId="0" xfId="13" applyFont="1" applyFill="1" applyAlignment="1">
      <alignment vertical="center"/>
    </xf>
    <xf numFmtId="170" fontId="0" fillId="0" borderId="2" xfId="0" applyBorder="1" applyAlignment="1">
      <alignment horizontal="center"/>
    </xf>
    <xf numFmtId="170" fontId="7" fillId="0" borderId="0" xfId="0" applyFont="1" applyBorder="1" applyAlignment="1">
      <alignment horizontal="center"/>
    </xf>
    <xf numFmtId="170" fontId="1" fillId="0" borderId="0" xfId="0" applyFont="1" applyBorder="1" applyAlignment="1"/>
    <xf numFmtId="170" fontId="1" fillId="0" borderId="0" xfId="0" applyFont="1" applyFill="1" applyBorder="1" applyAlignment="1"/>
    <xf numFmtId="170" fontId="34" fillId="0" borderId="0" xfId="0" applyFont="1"/>
    <xf numFmtId="170" fontId="34" fillId="0" borderId="0" xfId="0" applyFont="1" applyAlignment="1">
      <alignment horizontal="right"/>
    </xf>
    <xf numFmtId="170" fontId="34" fillId="0" borderId="0" xfId="0" applyFont="1" applyBorder="1"/>
    <xf numFmtId="170" fontId="36" fillId="0" borderId="0" xfId="0" applyFont="1"/>
    <xf numFmtId="170" fontId="34" fillId="0" borderId="0" xfId="0" applyNumberFormat="1" applyFont="1" applyBorder="1"/>
    <xf numFmtId="170" fontId="0" fillId="0" borderId="0" xfId="0" applyFill="1"/>
    <xf numFmtId="10" fontId="4" fillId="0" borderId="0" xfId="19" applyNumberFormat="1" applyFont="1" applyFill="1" applyBorder="1" applyAlignment="1">
      <alignment horizontal="center"/>
    </xf>
    <xf numFmtId="10" fontId="4" fillId="0" borderId="0" xfId="19" applyNumberFormat="1" applyFont="1" applyFill="1" applyBorder="1" applyAlignment="1" applyProtection="1">
      <alignment horizontal="center"/>
      <protection locked="0"/>
    </xf>
    <xf numFmtId="164" fontId="21" fillId="0" borderId="0" xfId="0" applyNumberFormat="1" applyFont="1" applyFill="1" applyBorder="1" applyAlignment="1"/>
    <xf numFmtId="164" fontId="105" fillId="0" borderId="0" xfId="23" applyFill="1" applyBorder="1" applyAlignment="1" applyProtection="1">
      <alignment vertical="center"/>
      <protection locked="0"/>
    </xf>
    <xf numFmtId="165" fontId="25" fillId="0" borderId="0" xfId="0" applyNumberFormat="1" applyFont="1" applyFill="1" applyBorder="1" applyAlignment="1">
      <alignment horizontal="center"/>
    </xf>
    <xf numFmtId="170" fontId="19" fillId="0" borderId="0" xfId="0" applyFont="1" applyFill="1" applyBorder="1" applyAlignment="1">
      <alignment horizontal="centerContinuous"/>
    </xf>
    <xf numFmtId="170" fontId="0" fillId="0" borderId="0" xfId="0" applyFill="1" applyBorder="1" applyAlignment="1">
      <alignment horizontal="centerContinuous"/>
    </xf>
    <xf numFmtId="164" fontId="32" fillId="0" borderId="0" xfId="23" applyFont="1" applyFill="1" applyBorder="1" applyAlignment="1" applyProtection="1">
      <alignment vertical="center"/>
      <protection locked="0"/>
    </xf>
    <xf numFmtId="170" fontId="0" fillId="0" borderId="2" xfId="0" applyBorder="1"/>
    <xf numFmtId="170" fontId="0" fillId="0" borderId="0" xfId="0" applyFill="1" applyBorder="1" applyAlignment="1">
      <alignment horizontal="center"/>
    </xf>
    <xf numFmtId="22" fontId="0" fillId="0" borderId="0" xfId="0" applyNumberFormat="1"/>
    <xf numFmtId="2" fontId="0" fillId="0" borderId="0" xfId="0" applyNumberFormat="1" applyFill="1"/>
    <xf numFmtId="2" fontId="105" fillId="0" borderId="0" xfId="20" applyNumberFormat="1" applyFill="1" applyBorder="1" applyAlignment="1" applyProtection="1">
      <alignment horizontal="center"/>
      <protection locked="0"/>
    </xf>
    <xf numFmtId="170" fontId="8" fillId="0" borderId="0" xfId="0" applyFont="1" applyFill="1" applyBorder="1" applyAlignment="1" applyProtection="1">
      <alignment horizontal="center"/>
    </xf>
    <xf numFmtId="170" fontId="16" fillId="0" borderId="0" xfId="0" applyFont="1" applyFill="1" applyAlignment="1" applyProtection="1"/>
    <xf numFmtId="170" fontId="8" fillId="0" borderId="0" xfId="0" applyFont="1" applyAlignment="1" applyProtection="1">
      <alignment horizontal="left" indent="1"/>
    </xf>
    <xf numFmtId="170" fontId="11" fillId="0" borderId="0" xfId="0" applyFont="1" applyAlignment="1" applyProtection="1">
      <alignment horizontal="left" indent="1"/>
    </xf>
    <xf numFmtId="170" fontId="8" fillId="0" borderId="0" xfId="0" applyFont="1" applyFill="1" applyBorder="1" applyProtection="1"/>
    <xf numFmtId="164" fontId="47" fillId="0" borderId="0" xfId="14" applyFont="1" applyProtection="1"/>
    <xf numFmtId="164" fontId="47" fillId="0" borderId="0" xfId="16" applyFont="1" applyProtection="1"/>
    <xf numFmtId="170" fontId="47" fillId="0" borderId="2" xfId="0" applyFont="1" applyFill="1" applyBorder="1" applyAlignment="1" applyProtection="1">
      <alignment horizontal="center"/>
    </xf>
    <xf numFmtId="170" fontId="47" fillId="0" borderId="2" xfId="0" applyFont="1" applyFill="1" applyBorder="1" applyProtection="1"/>
    <xf numFmtId="164" fontId="47" fillId="0" borderId="2" xfId="16" applyFont="1" applyBorder="1" applyProtection="1"/>
    <xf numFmtId="170" fontId="48" fillId="0" borderId="2" xfId="0" applyFont="1" applyBorder="1" applyAlignment="1" applyProtection="1">
      <alignment horizontal="left" indent="1"/>
    </xf>
    <xf numFmtId="170" fontId="49" fillId="0" borderId="2" xfId="0" applyFont="1" applyBorder="1"/>
    <xf numFmtId="170" fontId="50" fillId="2" borderId="2" xfId="0" applyFont="1" applyFill="1" applyBorder="1" applyAlignment="1" applyProtection="1">
      <alignment horizontal="center"/>
    </xf>
    <xf numFmtId="170" fontId="50" fillId="2" borderId="2" xfId="0" applyFont="1" applyFill="1" applyBorder="1" applyAlignment="1">
      <alignment horizontal="center"/>
    </xf>
    <xf numFmtId="170" fontId="14" fillId="0" borderId="0" xfId="0" applyFont="1"/>
    <xf numFmtId="3" fontId="8" fillId="3" borderId="3" xfId="0" applyNumberFormat="1" applyFont="1" applyFill="1" applyBorder="1" applyAlignment="1">
      <alignment horizontal="right"/>
    </xf>
    <xf numFmtId="3" fontId="8" fillId="3" borderId="3" xfId="1" applyNumberFormat="1" applyFont="1" applyFill="1" applyBorder="1"/>
    <xf numFmtId="9" fontId="8" fillId="3" borderId="3" xfId="19" applyFont="1" applyFill="1" applyBorder="1"/>
    <xf numFmtId="9" fontId="8" fillId="3" borderId="3" xfId="19" applyNumberFormat="1" applyFont="1" applyFill="1" applyBorder="1"/>
    <xf numFmtId="170" fontId="8" fillId="3" borderId="3" xfId="0" applyFont="1" applyFill="1" applyBorder="1"/>
    <xf numFmtId="9" fontId="8" fillId="3" borderId="3" xfId="19" applyFont="1" applyFill="1" applyBorder="1" applyAlignment="1">
      <alignment horizontal="center"/>
    </xf>
    <xf numFmtId="170" fontId="8" fillId="0" borderId="0" xfId="0" applyFont="1"/>
    <xf numFmtId="170" fontId="26" fillId="0" borderId="0" xfId="0" applyFont="1" applyAlignment="1">
      <alignment horizontal="center"/>
    </xf>
    <xf numFmtId="164" fontId="42" fillId="0" borderId="0" xfId="13" applyFont="1" applyFill="1" applyAlignment="1">
      <alignment vertical="center"/>
    </xf>
    <xf numFmtId="170" fontId="7" fillId="0" borderId="0" xfId="0" applyFont="1"/>
    <xf numFmtId="170" fontId="36" fillId="0" borderId="0" xfId="0" applyFont="1" applyFill="1"/>
    <xf numFmtId="170" fontId="53" fillId="2" borderId="4" xfId="0" applyFont="1" applyFill="1" applyBorder="1" applyAlignment="1">
      <alignment vertical="center"/>
    </xf>
    <xf numFmtId="170" fontId="51" fillId="0" borderId="0" xfId="18" applyNumberFormat="1" applyFont="1" applyFill="1" applyBorder="1" applyAlignment="1">
      <alignment horizontal="center" vertical="center" wrapText="1"/>
    </xf>
    <xf numFmtId="170" fontId="51" fillId="4" borderId="5" xfId="18"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14" fillId="0" borderId="0" xfId="0" applyNumberFormat="1" applyFont="1" applyFill="1" applyBorder="1" applyAlignment="1">
      <alignment horizontal="center"/>
    </xf>
    <xf numFmtId="1" fontId="54" fillId="3" borderId="0" xfId="0" applyNumberFormat="1" applyFont="1" applyFill="1" applyBorder="1" applyAlignment="1">
      <alignment horizontal="center"/>
    </xf>
    <xf numFmtId="170" fontId="54" fillId="0" borderId="0" xfId="0" applyFont="1" applyFill="1" applyBorder="1" applyAlignment="1" applyProtection="1">
      <alignment horizontal="left"/>
    </xf>
    <xf numFmtId="170" fontId="55" fillId="0" borderId="0" xfId="0" applyFont="1"/>
    <xf numFmtId="164" fontId="32" fillId="0" borderId="0" xfId="23" applyFont="1" applyFill="1" applyBorder="1" applyAlignment="1" applyProtection="1">
      <alignment horizontal="center" vertical="center"/>
      <protection locked="0"/>
    </xf>
    <xf numFmtId="15" fontId="0" fillId="0" borderId="0" xfId="0" applyNumberFormat="1"/>
    <xf numFmtId="170" fontId="0" fillId="0" borderId="2" xfId="0" quotePrefix="1" applyNumberFormat="1" applyBorder="1"/>
    <xf numFmtId="164" fontId="24" fillId="0" borderId="6" xfId="23" applyFont="1" applyBorder="1" applyAlignment="1" applyProtection="1"/>
    <xf numFmtId="164" fontId="105" fillId="0" borderId="6" xfId="23" applyFill="1" applyBorder="1" applyAlignment="1" applyProtection="1">
      <alignment vertical="center"/>
    </xf>
    <xf numFmtId="164" fontId="3" fillId="0" borderId="6" xfId="23" applyFont="1" applyFill="1" applyBorder="1" applyAlignment="1" applyProtection="1">
      <alignment vertical="center"/>
    </xf>
    <xf numFmtId="164" fontId="24" fillId="0" borderId="0" xfId="23" applyFont="1" applyBorder="1" applyAlignment="1" applyProtection="1"/>
    <xf numFmtId="164" fontId="105" fillId="0" borderId="0" xfId="23" applyFill="1" applyBorder="1" applyAlignment="1" applyProtection="1">
      <alignment vertical="center"/>
    </xf>
    <xf numFmtId="164" fontId="3" fillId="0" borderId="0" xfId="23" applyFont="1" applyFill="1" applyBorder="1" applyAlignment="1" applyProtection="1">
      <alignment vertical="center"/>
    </xf>
    <xf numFmtId="170" fontId="25" fillId="0" borderId="7" xfId="0" applyFont="1" applyBorder="1" applyAlignment="1" applyProtection="1">
      <alignment horizontal="center"/>
    </xf>
    <xf numFmtId="15" fontId="25" fillId="0" borderId="8" xfId="0" applyNumberFormat="1" applyFont="1" applyBorder="1" applyAlignment="1" applyProtection="1">
      <alignment horizontal="center"/>
    </xf>
    <xf numFmtId="170" fontId="25" fillId="0" borderId="9" xfId="0" applyFont="1" applyBorder="1" applyAlignment="1" applyProtection="1">
      <alignment horizontal="center"/>
    </xf>
    <xf numFmtId="166" fontId="8" fillId="0" borderId="0" xfId="0" applyNumberFormat="1" applyFont="1" applyFill="1" applyBorder="1" applyAlignment="1" applyProtection="1"/>
    <xf numFmtId="10" fontId="4" fillId="0" borderId="0" xfId="19" applyNumberFormat="1" applyFont="1" applyFill="1" applyBorder="1" applyAlignment="1" applyProtection="1">
      <alignment horizontal="center"/>
    </xf>
    <xf numFmtId="170" fontId="4" fillId="0" borderId="0" xfId="0" applyFont="1" applyFill="1" applyBorder="1" applyAlignment="1" applyProtection="1"/>
    <xf numFmtId="170" fontId="19" fillId="0" borderId="0" xfId="0" applyFont="1" applyFill="1" applyBorder="1" applyAlignment="1" applyProtection="1">
      <alignment horizontal="centerContinuous" wrapText="1"/>
    </xf>
    <xf numFmtId="170" fontId="19" fillId="0" borderId="0" xfId="0" applyFont="1" applyFill="1" applyBorder="1" applyAlignment="1" applyProtection="1">
      <alignment horizontal="centerContinuous"/>
    </xf>
    <xf numFmtId="170" fontId="0" fillId="0" borderId="0" xfId="0" applyFill="1" applyBorder="1" applyAlignment="1" applyProtection="1">
      <alignment horizontal="centerContinuous"/>
    </xf>
    <xf numFmtId="15" fontId="19" fillId="0" borderId="10" xfId="0" applyNumberFormat="1" applyFont="1" applyFill="1" applyBorder="1" applyAlignment="1" applyProtection="1"/>
    <xf numFmtId="170" fontId="19" fillId="0" borderId="10" xfId="0" applyFont="1" applyFill="1" applyBorder="1" applyProtection="1"/>
    <xf numFmtId="170" fontId="19" fillId="0" borderId="11" xfId="0" applyFont="1" applyFill="1" applyBorder="1" applyProtection="1"/>
    <xf numFmtId="164" fontId="31" fillId="0" borderId="12" xfId="23" applyFont="1" applyBorder="1" applyAlignment="1" applyProtection="1"/>
    <xf numFmtId="164" fontId="32" fillId="0" borderId="12" xfId="23" applyFont="1" applyFill="1" applyBorder="1" applyAlignment="1" applyProtection="1">
      <alignment vertical="center"/>
    </xf>
    <xf numFmtId="164" fontId="32" fillId="0" borderId="12" xfId="23" applyFont="1" applyFill="1" applyBorder="1" applyAlignment="1" applyProtection="1">
      <alignment horizontal="center" vertical="center"/>
    </xf>
    <xf numFmtId="164" fontId="32" fillId="0" borderId="0" xfId="23" applyFont="1" applyFill="1" applyBorder="1" applyAlignment="1" applyProtection="1">
      <alignment vertical="center"/>
    </xf>
    <xf numFmtId="164" fontId="31" fillId="0" borderId="0" xfId="23" applyFont="1" applyBorder="1" applyAlignment="1" applyProtection="1"/>
    <xf numFmtId="164" fontId="33" fillId="0" borderId="0" xfId="23" applyFont="1" applyFill="1" applyBorder="1" applyAlignment="1" applyProtection="1">
      <alignment vertical="center"/>
    </xf>
    <xf numFmtId="170" fontId="7" fillId="0" borderId="0" xfId="0" applyFont="1" applyBorder="1" applyAlignment="1" applyProtection="1">
      <alignment horizontal="center"/>
    </xf>
    <xf numFmtId="170" fontId="7" fillId="0" borderId="13" xfId="0" applyFont="1" applyBorder="1" applyAlignment="1" applyProtection="1">
      <alignment horizontal="center"/>
    </xf>
    <xf numFmtId="170" fontId="7" fillId="0" borderId="13" xfId="0" applyFont="1" applyBorder="1" applyAlignment="1" applyProtection="1">
      <alignment horizontal="center" wrapText="1"/>
    </xf>
    <xf numFmtId="170" fontId="7" fillId="0" borderId="14" xfId="0" applyFont="1" applyBorder="1" applyAlignment="1" applyProtection="1">
      <alignment horizontal="center"/>
    </xf>
    <xf numFmtId="170" fontId="7" fillId="0" borderId="15" xfId="0" applyFont="1" applyBorder="1" applyAlignment="1" applyProtection="1">
      <alignment horizontal="center"/>
    </xf>
    <xf numFmtId="170" fontId="7" fillId="0" borderId="16" xfId="0" applyFont="1" applyBorder="1" applyAlignment="1" applyProtection="1">
      <alignment horizontal="center"/>
    </xf>
    <xf numFmtId="1" fontId="14" fillId="3" borderId="17" xfId="0" applyNumberFormat="1" applyFont="1" applyFill="1" applyBorder="1" applyAlignment="1" applyProtection="1">
      <alignment horizontal="center"/>
    </xf>
    <xf numFmtId="170" fontId="0" fillId="0" borderId="18" xfId="0" applyBorder="1" applyProtection="1"/>
    <xf numFmtId="170" fontId="0" fillId="0" borderId="14" xfId="0" applyBorder="1" applyAlignment="1" applyProtection="1">
      <alignment horizontal="center"/>
    </xf>
    <xf numFmtId="170" fontId="0" fillId="0" borderId="16" xfId="0" applyBorder="1" applyAlignment="1" applyProtection="1">
      <alignment horizontal="center"/>
    </xf>
    <xf numFmtId="170" fontId="25" fillId="0" borderId="13" xfId="0" applyFont="1" applyBorder="1" applyAlignment="1" applyProtection="1">
      <alignment horizontal="center"/>
    </xf>
    <xf numFmtId="170" fontId="25" fillId="0" borderId="14" xfId="0" applyFont="1" applyBorder="1" applyAlignment="1" applyProtection="1">
      <alignment horizontal="center"/>
    </xf>
    <xf numFmtId="170" fontId="0" fillId="0" borderId="0" xfId="0" applyFill="1" applyBorder="1" applyAlignment="1" applyProtection="1">
      <alignment horizontal="center" wrapText="1"/>
    </xf>
    <xf numFmtId="164" fontId="72" fillId="0" borderId="0" xfId="1" applyFont="1" applyFill="1" applyBorder="1" applyProtection="1"/>
    <xf numFmtId="164" fontId="0" fillId="0" borderId="0" xfId="0" applyNumberFormat="1" applyFill="1" applyBorder="1" applyProtection="1"/>
    <xf numFmtId="164" fontId="46" fillId="0" borderId="19" xfId="23" applyFont="1" applyFill="1" applyBorder="1" applyAlignment="1" applyProtection="1"/>
    <xf numFmtId="164" fontId="32" fillId="0" borderId="19" xfId="23" applyFont="1" applyFill="1" applyBorder="1" applyAlignment="1" applyProtection="1">
      <alignment vertical="center"/>
    </xf>
    <xf numFmtId="164" fontId="21" fillId="0" borderId="0" xfId="0" applyNumberFormat="1" applyFont="1" applyAlignment="1" applyProtection="1">
      <alignment horizontal="right"/>
    </xf>
    <xf numFmtId="166" fontId="21" fillId="0" borderId="0" xfId="1" applyNumberFormat="1" applyFont="1" applyAlignment="1" applyProtection="1">
      <alignment horizontal="left"/>
    </xf>
    <xf numFmtId="15" fontId="21" fillId="0" borderId="0" xfId="0" applyNumberFormat="1" applyFont="1" applyAlignment="1" applyProtection="1">
      <alignment horizontal="left"/>
    </xf>
    <xf numFmtId="15" fontId="21" fillId="0" borderId="0" xfId="0" applyNumberFormat="1" applyFont="1" applyAlignment="1" applyProtection="1">
      <alignment horizontal="right"/>
    </xf>
    <xf numFmtId="164" fontId="21" fillId="0" borderId="0" xfId="0" applyNumberFormat="1" applyFont="1" applyProtection="1"/>
    <xf numFmtId="164" fontId="21" fillId="0" borderId="0" xfId="0" applyNumberFormat="1" applyFont="1" applyBorder="1" applyProtection="1"/>
    <xf numFmtId="164" fontId="21" fillId="0" borderId="0" xfId="0" applyNumberFormat="1" applyFont="1" applyBorder="1" applyAlignment="1" applyProtection="1">
      <alignment horizontal="right"/>
    </xf>
    <xf numFmtId="166" fontId="21" fillId="0" borderId="0" xfId="1" applyNumberFormat="1" applyFont="1" applyBorder="1" applyAlignment="1" applyProtection="1">
      <alignment horizontal="left"/>
    </xf>
    <xf numFmtId="170" fontId="12" fillId="0" borderId="0" xfId="0" applyFont="1" applyBorder="1" applyAlignment="1" applyProtection="1">
      <alignment horizontal="center"/>
    </xf>
    <xf numFmtId="170" fontId="12" fillId="0" borderId="0" xfId="0" applyFont="1" applyAlignment="1" applyProtection="1">
      <alignment horizontal="center"/>
    </xf>
    <xf numFmtId="170" fontId="27" fillId="0" borderId="2" xfId="0" applyFont="1" applyBorder="1" applyAlignment="1" applyProtection="1">
      <alignment horizontal="center" vertical="center" wrapText="1"/>
    </xf>
    <xf numFmtId="15" fontId="19" fillId="0" borderId="0" xfId="0" applyNumberFormat="1" applyFont="1" applyFill="1" applyBorder="1" applyAlignment="1" applyProtection="1"/>
    <xf numFmtId="15" fontId="19" fillId="0" borderId="0" xfId="0" applyNumberFormat="1" applyFont="1" applyFill="1" applyBorder="1" applyAlignment="1" applyProtection="1">
      <alignment horizontal="center" wrapText="1"/>
    </xf>
    <xf numFmtId="170" fontId="19" fillId="0" borderId="0" xfId="0" applyFont="1" applyFill="1" applyBorder="1" applyProtection="1"/>
    <xf numFmtId="170" fontId="0" fillId="0" borderId="0" xfId="0" applyFill="1" applyBorder="1" applyAlignment="1" applyProtection="1">
      <alignment horizontal="center"/>
    </xf>
    <xf numFmtId="170" fontId="19" fillId="0" borderId="0" xfId="0" applyFont="1" applyFill="1" applyBorder="1" applyAlignment="1" applyProtection="1"/>
    <xf numFmtId="170" fontId="0" fillId="0" borderId="14" xfId="0" applyBorder="1" applyAlignment="1" applyProtection="1">
      <alignment horizontal="center" wrapText="1"/>
    </xf>
    <xf numFmtId="170" fontId="34" fillId="0" borderId="0" xfId="0" applyFont="1" applyProtection="1"/>
    <xf numFmtId="170" fontId="34" fillId="0" borderId="0" xfId="0" applyFont="1" applyAlignment="1" applyProtection="1">
      <alignment horizontal="right"/>
    </xf>
    <xf numFmtId="170" fontId="34" fillId="0" borderId="0" xfId="0" applyFont="1" applyBorder="1" applyProtection="1"/>
    <xf numFmtId="170" fontId="35" fillId="0" borderId="0" xfId="0" applyFont="1" applyBorder="1" applyAlignment="1" applyProtection="1">
      <alignment horizontal="left" vertical="center"/>
    </xf>
    <xf numFmtId="170" fontId="35" fillId="0" borderId="0" xfId="0" applyFont="1" applyBorder="1" applyAlignment="1" applyProtection="1">
      <alignment horizontal="left"/>
    </xf>
    <xf numFmtId="167" fontId="35" fillId="0" borderId="0" xfId="0" applyNumberFormat="1" applyFont="1" applyBorder="1" applyAlignment="1" applyProtection="1">
      <alignment horizontal="left"/>
    </xf>
    <xf numFmtId="170" fontId="36" fillId="0" borderId="0" xfId="0" applyFont="1" applyProtection="1"/>
    <xf numFmtId="170" fontId="37" fillId="0" borderId="0" xfId="0" applyFont="1" applyFill="1" applyBorder="1" applyAlignment="1" applyProtection="1">
      <alignment horizontal="right"/>
    </xf>
    <xf numFmtId="3" fontId="40" fillId="0" borderId="0" xfId="0" applyNumberFormat="1" applyFont="1" applyFill="1" applyBorder="1" applyAlignment="1" applyProtection="1">
      <alignment horizontal="right" vertical="center"/>
    </xf>
    <xf numFmtId="170" fontId="38" fillId="3" borderId="0" xfId="0" applyNumberFormat="1" applyFont="1" applyFill="1" applyBorder="1" applyAlignment="1" applyProtection="1">
      <alignment horizontal="right"/>
    </xf>
    <xf numFmtId="170" fontId="39" fillId="3" borderId="0" xfId="0" applyFont="1" applyFill="1" applyBorder="1" applyAlignment="1" applyProtection="1">
      <alignment horizontal="center" vertical="center"/>
    </xf>
    <xf numFmtId="170" fontId="43" fillId="0" borderId="0" xfId="0" applyFont="1" applyFill="1" applyBorder="1" applyAlignment="1" applyProtection="1">
      <alignment horizontal="center"/>
    </xf>
    <xf numFmtId="170" fontId="38" fillId="0" borderId="0" xfId="0" applyNumberFormat="1" applyFont="1" applyFill="1" applyBorder="1" applyAlignment="1" applyProtection="1">
      <alignment horizontal="right"/>
    </xf>
    <xf numFmtId="170" fontId="47" fillId="0" borderId="0" xfId="0" applyFont="1" applyFill="1" applyBorder="1" applyAlignment="1" applyProtection="1"/>
    <xf numFmtId="164" fontId="8" fillId="0" borderId="0" xfId="0" applyNumberFormat="1" applyFont="1"/>
    <xf numFmtId="170" fontId="21" fillId="0" borderId="0" xfId="0" applyNumberFormat="1" applyFont="1" applyAlignment="1" applyProtection="1">
      <alignment horizontal="center"/>
    </xf>
    <xf numFmtId="170" fontId="21" fillId="0" borderId="0" xfId="0" applyFont="1" applyAlignment="1" applyProtection="1">
      <alignment horizontal="center"/>
    </xf>
    <xf numFmtId="15" fontId="21"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164" fontId="30" fillId="0" borderId="0" xfId="0" applyNumberFormat="1" applyFont="1" applyBorder="1" applyProtection="1"/>
    <xf numFmtId="166" fontId="4" fillId="0" borderId="0" xfId="1" applyNumberFormat="1" applyFont="1" applyFill="1" applyBorder="1" applyAlignment="1" applyProtection="1">
      <protection locked="0"/>
    </xf>
    <xf numFmtId="166" fontId="4" fillId="0" borderId="0" xfId="1" applyNumberFormat="1" applyFont="1" applyFill="1" applyBorder="1" applyProtection="1">
      <protection locked="0"/>
    </xf>
    <xf numFmtId="170" fontId="0" fillId="0" borderId="0" xfId="0" applyBorder="1" applyAlignment="1">
      <alignment horizontal="center"/>
    </xf>
    <xf numFmtId="170" fontId="8" fillId="3" borderId="0" xfId="0" applyFont="1" applyFill="1"/>
    <xf numFmtId="165" fontId="8" fillId="3" borderId="0" xfId="0" applyNumberFormat="1" applyFont="1" applyFill="1"/>
    <xf numFmtId="166" fontId="8" fillId="3" borderId="0" xfId="0" applyNumberFormat="1" applyFont="1" applyFill="1"/>
    <xf numFmtId="3" fontId="8" fillId="3" borderId="0" xfId="0" applyNumberFormat="1" applyFont="1" applyFill="1" applyProtection="1"/>
    <xf numFmtId="165" fontId="8" fillId="3" borderId="0" xfId="0" applyNumberFormat="1" applyFont="1" applyFill="1" applyProtection="1"/>
    <xf numFmtId="170" fontId="27" fillId="0" borderId="0" xfId="0" applyFont="1" applyFill="1" applyAlignment="1" applyProtection="1">
      <alignment horizontal="left"/>
      <protection locked="0"/>
    </xf>
    <xf numFmtId="170" fontId="27" fillId="0" borderId="0" xfId="0" applyFont="1" applyFill="1" applyBorder="1" applyAlignment="1" applyProtection="1">
      <alignment horizontal="left"/>
      <protection locked="0"/>
    </xf>
    <xf numFmtId="170" fontId="21" fillId="0" borderId="0" xfId="0" applyFont="1" applyFill="1" applyBorder="1" applyAlignment="1">
      <alignment vertical="center" wrapText="1"/>
    </xf>
    <xf numFmtId="170" fontId="21" fillId="0" borderId="0" xfId="0" applyFont="1" applyFill="1" applyBorder="1" applyAlignment="1">
      <alignment horizontal="center"/>
    </xf>
    <xf numFmtId="170" fontId="0" fillId="3" borderId="0" xfId="0" applyFill="1" applyBorder="1" applyAlignment="1">
      <alignment horizontal="center"/>
    </xf>
    <xf numFmtId="170" fontId="21" fillId="0" borderId="23" xfId="0" applyFont="1" applyFill="1" applyBorder="1" applyAlignment="1" applyProtection="1">
      <alignment horizontal="center" wrapText="1"/>
    </xf>
    <xf numFmtId="170" fontId="0" fillId="0" borderId="24" xfId="0" applyBorder="1" applyProtection="1"/>
    <xf numFmtId="164" fontId="10" fillId="0" borderId="0" xfId="12" applyFont="1" applyFill="1" applyAlignment="1" applyProtection="1">
      <alignment horizontal="center" vertical="center"/>
    </xf>
    <xf numFmtId="164" fontId="9" fillId="0" borderId="0" xfId="12" applyFont="1" applyFill="1" applyAlignment="1" applyProtection="1">
      <alignment vertical="center"/>
    </xf>
    <xf numFmtId="170" fontId="56" fillId="0" borderId="0" xfId="0" applyFont="1"/>
    <xf numFmtId="164" fontId="7" fillId="0" borderId="0" xfId="0" applyNumberFormat="1" applyFont="1" applyAlignment="1" applyProtection="1">
      <alignment horizontal="center"/>
    </xf>
    <xf numFmtId="164" fontId="13" fillId="0" borderId="25" xfId="20" applyFont="1" applyBorder="1" applyAlignment="1" applyProtection="1">
      <alignment horizontal="right"/>
    </xf>
    <xf numFmtId="170" fontId="6" fillId="0" borderId="0" xfId="0" applyFont="1"/>
    <xf numFmtId="170" fontId="0" fillId="3" borderId="0" xfId="0" applyFill="1" applyProtection="1"/>
    <xf numFmtId="170" fontId="0" fillId="3" borderId="26" xfId="0" applyFill="1" applyBorder="1" applyProtection="1"/>
    <xf numFmtId="164" fontId="62" fillId="0" borderId="0" xfId="0" applyNumberFormat="1" applyFont="1"/>
    <xf numFmtId="170" fontId="62" fillId="0" borderId="0" xfId="0" applyFont="1"/>
    <xf numFmtId="164" fontId="0" fillId="0" borderId="0" xfId="0" quotePrefix="1" applyNumberFormat="1"/>
    <xf numFmtId="164" fontId="0" fillId="0" borderId="0" xfId="0" applyNumberFormat="1"/>
    <xf numFmtId="164" fontId="105" fillId="0" borderId="0" xfId="17" applyFill="1" applyBorder="1" applyAlignment="1" applyProtection="1">
      <alignment horizontal="center"/>
    </xf>
    <xf numFmtId="170" fontId="27" fillId="0" borderId="0" xfId="0" quotePrefix="1" applyFont="1" applyProtection="1"/>
    <xf numFmtId="170" fontId="44" fillId="0" borderId="28" xfId="0" applyFont="1" applyBorder="1" applyAlignment="1">
      <alignment horizontal="justify" vertical="center" wrapText="1"/>
    </xf>
    <xf numFmtId="170" fontId="44" fillId="0" borderId="29" xfId="0" applyFont="1" applyBorder="1" applyAlignment="1">
      <alignment horizontal="justify" vertical="center" wrapText="1"/>
    </xf>
    <xf numFmtId="170" fontId="44" fillId="0" borderId="30" xfId="0" applyFont="1" applyBorder="1" applyAlignment="1">
      <alignment horizontal="justify" vertical="center" wrapText="1"/>
    </xf>
    <xf numFmtId="170" fontId="61" fillId="0" borderId="29" xfId="0" applyFont="1" applyBorder="1" applyAlignment="1">
      <alignment horizontal="justify" vertical="center" wrapText="1"/>
    </xf>
    <xf numFmtId="164" fontId="64" fillId="0" borderId="19" xfId="23" applyFont="1" applyFill="1" applyBorder="1" applyAlignment="1" applyProtection="1"/>
    <xf numFmtId="164" fontId="5" fillId="0" borderId="19" xfId="23" applyFont="1" applyFill="1" applyBorder="1" applyAlignment="1" applyProtection="1">
      <alignment vertical="center"/>
    </xf>
    <xf numFmtId="170" fontId="60" fillId="0" borderId="28" xfId="0" applyFont="1" applyBorder="1" applyAlignment="1">
      <alignment vertical="center" wrapText="1"/>
    </xf>
    <xf numFmtId="170" fontId="60" fillId="0" borderId="29" xfId="0" applyFont="1" applyBorder="1" applyAlignment="1">
      <alignment vertical="center" wrapText="1"/>
    </xf>
    <xf numFmtId="170" fontId="2" fillId="0" borderId="31" xfId="0" applyFont="1" applyFill="1" applyBorder="1" applyAlignment="1" applyProtection="1">
      <alignment horizontal="center"/>
    </xf>
    <xf numFmtId="170" fontId="1" fillId="0" borderId="0" xfId="0" applyFont="1"/>
    <xf numFmtId="170" fontId="67" fillId="0" borderId="0" xfId="0" applyFont="1"/>
    <xf numFmtId="164" fontId="69" fillId="0" borderId="19" xfId="23" applyFont="1" applyFill="1" applyBorder="1" applyAlignment="1" applyProtection="1">
      <alignment vertical="center"/>
    </xf>
    <xf numFmtId="170" fontId="68" fillId="0" borderId="0" xfId="0" applyFont="1" applyFill="1"/>
    <xf numFmtId="15" fontId="29" fillId="0" borderId="0" xfId="0" applyNumberFormat="1" applyFont="1" applyAlignment="1" applyProtection="1">
      <alignment horizontal="center"/>
    </xf>
    <xf numFmtId="1" fontId="14" fillId="6" borderId="2" xfId="0" applyNumberFormat="1" applyFont="1" applyFill="1" applyBorder="1" applyAlignment="1" applyProtection="1">
      <alignment horizontal="center"/>
      <protection locked="0"/>
    </xf>
    <xf numFmtId="1" fontId="14" fillId="6" borderId="32" xfId="0" applyNumberFormat="1" applyFont="1" applyFill="1" applyBorder="1" applyAlignment="1" applyProtection="1">
      <alignment horizontal="center"/>
      <protection locked="0"/>
    </xf>
    <xf numFmtId="166" fontId="0" fillId="0" borderId="0" xfId="0" applyNumberFormat="1" applyProtection="1"/>
    <xf numFmtId="164" fontId="13" fillId="0" borderId="0" xfId="15" applyFont="1" applyFill="1" applyAlignment="1" applyProtection="1">
      <alignment horizontal="right" vertical="center"/>
    </xf>
    <xf numFmtId="170" fontId="74" fillId="0" borderId="0" xfId="0" applyFont="1" applyFill="1" applyBorder="1" applyAlignment="1" applyProtection="1">
      <alignment horizontal="right"/>
    </xf>
    <xf numFmtId="164" fontId="75" fillId="0" borderId="6" xfId="23" applyFont="1" applyFill="1" applyBorder="1" applyAlignment="1" applyProtection="1">
      <alignment horizontal="left" vertical="center"/>
    </xf>
    <xf numFmtId="170" fontId="76" fillId="0" borderId="0" xfId="0" applyFont="1" applyFill="1" applyBorder="1" applyProtection="1"/>
    <xf numFmtId="170" fontId="74" fillId="0" borderId="0" xfId="0" applyFont="1" applyBorder="1" applyProtection="1"/>
    <xf numFmtId="3" fontId="4" fillId="0" borderId="0" xfId="0" applyNumberFormat="1" applyFont="1" applyAlignment="1" applyProtection="1">
      <alignment horizontal="right"/>
    </xf>
    <xf numFmtId="15" fontId="73" fillId="0" borderId="0" xfId="0" applyNumberFormat="1" applyFont="1" applyFill="1" applyBorder="1" applyAlignment="1" applyProtection="1">
      <alignment horizontal="left"/>
    </xf>
    <xf numFmtId="170" fontId="79" fillId="0" borderId="0" xfId="0" applyFont="1" applyFill="1" applyBorder="1" applyAlignment="1" applyProtection="1">
      <alignment horizontal="center" wrapText="1"/>
    </xf>
    <xf numFmtId="170" fontId="0" fillId="0" borderId="0" xfId="0" quotePrefix="1" applyProtection="1"/>
    <xf numFmtId="15" fontId="25" fillId="0" borderId="33" xfId="0" applyNumberFormat="1" applyFont="1" applyBorder="1" applyAlignment="1" applyProtection="1">
      <alignment horizontal="center"/>
    </xf>
    <xf numFmtId="15" fontId="22" fillId="0" borderId="0" xfId="0" applyNumberFormat="1" applyFont="1" applyFill="1" applyBorder="1" applyAlignment="1" applyProtection="1">
      <alignment horizontal="center" vertical="center" wrapText="1"/>
    </xf>
    <xf numFmtId="170" fontId="85" fillId="0" borderId="0" xfId="0" applyFont="1" applyBorder="1" applyAlignment="1" applyProtection="1">
      <alignment horizontal="right"/>
    </xf>
    <xf numFmtId="170" fontId="85" fillId="0" borderId="0" xfId="0" applyFont="1" applyAlignment="1" applyProtection="1">
      <alignment horizontal="right"/>
    </xf>
    <xf numFmtId="164" fontId="84" fillId="0" borderId="0" xfId="4" applyFont="1" applyFill="1" applyAlignment="1" applyProtection="1">
      <alignment vertical="center"/>
    </xf>
    <xf numFmtId="170" fontId="85" fillId="0" borderId="0" xfId="0" applyFont="1" applyProtection="1"/>
    <xf numFmtId="170" fontId="85" fillId="0" borderId="0" xfId="0" applyFont="1" applyBorder="1" applyProtection="1"/>
    <xf numFmtId="170" fontId="0" fillId="0" borderId="0" xfId="0" applyBorder="1" applyAlignment="1" applyProtection="1"/>
    <xf numFmtId="170" fontId="0" fillId="0" borderId="0" xfId="0" applyAlignment="1" applyProtection="1"/>
    <xf numFmtId="170" fontId="0" fillId="0" borderId="0" xfId="0" applyFill="1" applyBorder="1" applyProtection="1">
      <protection locked="0"/>
    </xf>
    <xf numFmtId="170" fontId="71" fillId="0" borderId="0" xfId="0" applyFont="1" applyFill="1" applyBorder="1" applyAlignment="1" applyProtection="1">
      <alignment horizontal="center" vertical="center"/>
    </xf>
    <xf numFmtId="170" fontId="4" fillId="0" borderId="34" xfId="0" applyFont="1" applyBorder="1" applyAlignment="1" applyProtection="1"/>
    <xf numFmtId="170" fontId="4" fillId="0" borderId="35" xfId="0" applyFont="1" applyBorder="1" applyAlignment="1" applyProtection="1"/>
    <xf numFmtId="170" fontId="18" fillId="0" borderId="36" xfId="0" applyFont="1" applyBorder="1" applyAlignment="1" applyProtection="1">
      <alignment vertical="distributed"/>
    </xf>
    <xf numFmtId="15" fontId="20" fillId="0" borderId="37" xfId="0" applyNumberFormat="1" applyFont="1" applyFill="1" applyBorder="1" applyAlignment="1" applyProtection="1">
      <alignment horizontal="center" vertical="center" wrapText="1"/>
    </xf>
    <xf numFmtId="170" fontId="4" fillId="0" borderId="0" xfId="0" applyFont="1" applyFill="1" applyBorder="1" applyAlignment="1" applyProtection="1">
      <protection locked="0"/>
    </xf>
    <xf numFmtId="170" fontId="80" fillId="0" borderId="0" xfId="0" applyFont="1" applyFill="1" applyBorder="1" applyAlignment="1" applyProtection="1">
      <alignment horizontal="left"/>
      <protection locked="0"/>
    </xf>
    <xf numFmtId="170" fontId="19" fillId="0" borderId="38" xfId="0" applyFont="1" applyFill="1" applyBorder="1" applyAlignment="1" applyProtection="1"/>
    <xf numFmtId="15" fontId="19" fillId="0" borderId="2" xfId="0" applyNumberFormat="1" applyFont="1" applyFill="1" applyBorder="1" applyAlignment="1" applyProtection="1">
      <alignment horizontal="center"/>
    </xf>
    <xf numFmtId="15" fontId="19" fillId="0" borderId="39" xfId="0" applyNumberFormat="1" applyFont="1" applyFill="1" applyBorder="1" applyAlignment="1" applyProtection="1">
      <alignment horizontal="center"/>
    </xf>
    <xf numFmtId="15" fontId="81" fillId="0" borderId="24" xfId="0" applyNumberFormat="1" applyFont="1" applyFill="1" applyBorder="1" applyAlignment="1" applyProtection="1">
      <alignment horizontal="center" wrapText="1"/>
    </xf>
    <xf numFmtId="15" fontId="81" fillId="0" borderId="40" xfId="0" applyNumberFormat="1" applyFont="1" applyFill="1" applyBorder="1" applyAlignment="1" applyProtection="1">
      <alignment horizontal="center" wrapText="1"/>
    </xf>
    <xf numFmtId="170" fontId="0" fillId="0" borderId="0" xfId="0" applyFill="1" applyBorder="1" applyAlignment="1" applyProtection="1">
      <alignment horizontal="left" vertical="top"/>
      <protection locked="0"/>
    </xf>
    <xf numFmtId="170" fontId="73" fillId="0" borderId="0" xfId="0" applyFont="1" applyFill="1" applyBorder="1" applyAlignment="1" applyProtection="1">
      <alignment horizontal="center"/>
    </xf>
    <xf numFmtId="170" fontId="7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4" fontId="0" fillId="0" borderId="2" xfId="0" applyNumberFormat="1" applyBorder="1" applyAlignment="1" applyProtection="1">
      <alignment horizontal="center"/>
      <protection locked="0"/>
    </xf>
    <xf numFmtId="170" fontId="0" fillId="0" borderId="41" xfId="0" applyBorder="1" applyAlignment="1" applyProtection="1">
      <alignment horizontal="center"/>
    </xf>
    <xf numFmtId="170" fontId="0" fillId="0" borderId="24" xfId="0" applyFill="1" applyBorder="1" applyAlignment="1" applyProtection="1">
      <alignment horizontal="center"/>
    </xf>
    <xf numFmtId="170" fontId="1" fillId="0" borderId="23" xfId="0" applyFont="1" applyFill="1" applyBorder="1" applyAlignment="1" applyProtection="1">
      <alignment horizontal="center" wrapText="1"/>
    </xf>
    <xf numFmtId="170" fontId="0" fillId="0" borderId="23" xfId="0" applyBorder="1" applyAlignment="1">
      <alignment horizontal="center" wrapText="1"/>
    </xf>
    <xf numFmtId="170" fontId="21" fillId="0" borderId="23" xfId="0" applyFont="1" applyBorder="1" applyAlignment="1">
      <alignment horizontal="center" wrapText="1"/>
    </xf>
    <xf numFmtId="170" fontId="1" fillId="0" borderId="40" xfId="0" applyFont="1" applyFill="1" applyBorder="1" applyAlignment="1" applyProtection="1">
      <alignment horizontal="center" wrapText="1"/>
    </xf>
    <xf numFmtId="3" fontId="45" fillId="7" borderId="2" xfId="0" applyNumberFormat="1" applyFont="1" applyFill="1" applyBorder="1" applyAlignment="1" applyProtection="1">
      <alignment horizontal="right" vertical="center"/>
      <protection locked="0"/>
    </xf>
    <xf numFmtId="170" fontId="51" fillId="0" borderId="42" xfId="0" applyFont="1" applyFill="1" applyBorder="1" applyAlignment="1" applyProtection="1">
      <alignment horizontal="center" vertical="center"/>
    </xf>
    <xf numFmtId="170" fontId="17" fillId="0" borderId="0" xfId="0" applyFont="1" applyProtection="1"/>
    <xf numFmtId="164" fontId="81" fillId="0" borderId="0" xfId="0" applyNumberFormat="1" applyFont="1" applyBorder="1" applyAlignment="1" applyProtection="1">
      <alignment vertical="center" wrapText="1"/>
    </xf>
    <xf numFmtId="170" fontId="81" fillId="0" borderId="0" xfId="0" applyFont="1" applyFill="1" applyBorder="1" applyAlignment="1" applyProtection="1">
      <alignment wrapText="1"/>
    </xf>
    <xf numFmtId="164" fontId="13" fillId="0" borderId="25" xfId="20" applyFont="1" applyFill="1" applyBorder="1" applyAlignment="1" applyProtection="1">
      <alignment horizontal="right"/>
    </xf>
    <xf numFmtId="170" fontId="27" fillId="0" borderId="43" xfId="0" applyFont="1" applyFill="1" applyBorder="1" applyAlignment="1" applyProtection="1">
      <alignment horizontal="center" wrapText="1"/>
    </xf>
    <xf numFmtId="170" fontId="14" fillId="3" borderId="28" xfId="0" applyFont="1" applyFill="1" applyBorder="1" applyAlignment="1" applyProtection="1"/>
    <xf numFmtId="170" fontId="14" fillId="3" borderId="44" xfId="0" applyFont="1" applyFill="1" applyBorder="1" applyAlignment="1" applyProtection="1"/>
    <xf numFmtId="170" fontId="21" fillId="0" borderId="0" xfId="0" applyFont="1" applyFill="1" applyBorder="1" applyAlignment="1" applyProtection="1">
      <alignment wrapText="1"/>
    </xf>
    <xf numFmtId="9" fontId="83" fillId="8" borderId="2" xfId="19" applyFont="1" applyFill="1" applyBorder="1" applyAlignment="1" applyProtection="1">
      <alignment horizontal="center" vertical="center" wrapText="1"/>
    </xf>
    <xf numFmtId="164" fontId="21" fillId="0" borderId="0" xfId="0" applyNumberFormat="1" applyFont="1" applyAlignment="1" applyProtection="1"/>
    <xf numFmtId="170" fontId="0" fillId="0" borderId="19" xfId="0" applyFill="1" applyBorder="1" applyProtection="1"/>
    <xf numFmtId="164" fontId="86" fillId="0" borderId="19" xfId="23" applyFont="1" applyFill="1" applyBorder="1" applyAlignment="1" applyProtection="1">
      <alignment vertical="center"/>
    </xf>
    <xf numFmtId="170" fontId="0" fillId="0" borderId="19" xfId="0" applyBorder="1" applyProtection="1"/>
    <xf numFmtId="170" fontId="0" fillId="0" borderId="19" xfId="0" applyBorder="1"/>
    <xf numFmtId="9" fontId="8" fillId="0" borderId="0" xfId="19" applyFont="1" applyProtection="1"/>
    <xf numFmtId="14" fontId="17" fillId="6" borderId="25" xfId="20" applyNumberFormat="1" applyFont="1" applyFill="1" applyBorder="1" applyAlignment="1" applyProtection="1">
      <alignment horizontal="center" vertical="center"/>
    </xf>
    <xf numFmtId="164" fontId="17" fillId="6" borderId="25" xfId="20" applyFont="1" applyFill="1" applyBorder="1" applyAlignment="1" applyProtection="1">
      <alignment horizontal="center" vertical="center"/>
    </xf>
    <xf numFmtId="170" fontId="17" fillId="6" borderId="25" xfId="20" applyNumberFormat="1" applyFont="1" applyFill="1" applyBorder="1" applyAlignment="1" applyProtection="1">
      <alignment horizontal="center"/>
    </xf>
    <xf numFmtId="3" fontId="17" fillId="6" borderId="25" xfId="20" applyNumberFormat="1" applyFont="1" applyFill="1" applyBorder="1" applyAlignment="1" applyProtection="1">
      <alignment horizontal="center"/>
    </xf>
    <xf numFmtId="164" fontId="17" fillId="6" borderId="25" xfId="20" applyFont="1" applyFill="1" applyBorder="1" applyAlignment="1" applyProtection="1">
      <alignment horizontal="center"/>
    </xf>
    <xf numFmtId="164" fontId="62" fillId="0" borderId="0" xfId="0" applyNumberFormat="1" applyFont="1" applyAlignment="1"/>
    <xf numFmtId="170" fontId="27" fillId="0" borderId="23" xfId="0" applyFont="1" applyFill="1" applyBorder="1" applyAlignment="1" applyProtection="1">
      <alignment horizontal="center" wrapText="1"/>
    </xf>
    <xf numFmtId="170" fontId="23" fillId="5" borderId="0" xfId="0" applyFont="1" applyFill="1" applyBorder="1" applyAlignment="1" applyProtection="1">
      <alignment horizontal="left"/>
      <protection locked="0"/>
    </xf>
    <xf numFmtId="49" fontId="0" fillId="0" borderId="0" xfId="0" applyNumberFormat="1" applyProtection="1"/>
    <xf numFmtId="3" fontId="0" fillId="6" borderId="2" xfId="0" applyNumberFormat="1" applyFill="1" applyBorder="1" applyAlignment="1" applyProtection="1">
      <alignment horizontal="right" wrapText="1"/>
      <protection locked="0"/>
    </xf>
    <xf numFmtId="3" fontId="0" fillId="0" borderId="2" xfId="0" applyNumberFormat="1" applyBorder="1" applyAlignment="1" applyProtection="1">
      <alignment horizontal="right" wrapText="1"/>
    </xf>
    <xf numFmtId="3" fontId="0" fillId="6" borderId="2" xfId="0" applyNumberFormat="1" applyFill="1" applyBorder="1" applyProtection="1">
      <protection locked="0"/>
    </xf>
    <xf numFmtId="3" fontId="0" fillId="0" borderId="2" xfId="0" applyNumberFormat="1" applyFill="1" applyBorder="1" applyProtection="1"/>
    <xf numFmtId="3" fontId="0" fillId="6" borderId="45" xfId="0" applyNumberFormat="1" applyFill="1" applyBorder="1" applyProtection="1">
      <protection locked="0"/>
    </xf>
    <xf numFmtId="4" fontId="0" fillId="0" borderId="0" xfId="0" applyNumberFormat="1" applyProtection="1"/>
    <xf numFmtId="165" fontId="25" fillId="2" borderId="46" xfId="0" applyNumberFormat="1" applyFont="1" applyFill="1" applyBorder="1" applyAlignment="1" applyProtection="1">
      <alignment horizontal="center"/>
      <protection locked="0"/>
    </xf>
    <xf numFmtId="165" fontId="25" fillId="2" borderId="47" xfId="0" applyNumberFormat="1" applyFont="1" applyFill="1" applyBorder="1" applyAlignment="1" applyProtection="1">
      <alignment horizontal="center"/>
      <protection locked="0"/>
    </xf>
    <xf numFmtId="165" fontId="25" fillId="2" borderId="49" xfId="0" applyNumberFormat="1" applyFont="1" applyFill="1" applyBorder="1" applyAlignment="1" applyProtection="1">
      <alignment horizontal="center"/>
      <protection locked="0"/>
    </xf>
    <xf numFmtId="165" fontId="25" fillId="2" borderId="50" xfId="0" applyNumberFormat="1" applyFont="1" applyFill="1" applyBorder="1" applyAlignment="1" applyProtection="1">
      <alignment horizontal="center"/>
      <protection locked="0"/>
    </xf>
    <xf numFmtId="170" fontId="0" fillId="0" borderId="51" xfId="0" applyFill="1" applyBorder="1" applyAlignment="1" applyProtection="1">
      <alignment horizontal="center"/>
    </xf>
    <xf numFmtId="164" fontId="1" fillId="0" borderId="25" xfId="20" applyFont="1" applyBorder="1" applyAlignment="1" applyProtection="1">
      <alignment horizontal="right"/>
    </xf>
    <xf numFmtId="164" fontId="94" fillId="0" borderId="0" xfId="16" applyFont="1" applyFill="1" applyBorder="1" applyProtection="1"/>
    <xf numFmtId="3" fontId="21" fillId="9" borderId="46" xfId="0" applyNumberFormat="1" applyFont="1" applyFill="1" applyBorder="1" applyAlignment="1" applyProtection="1">
      <protection locked="0"/>
    </xf>
    <xf numFmtId="3" fontId="21" fillId="9" borderId="52" xfId="0" applyNumberFormat="1" applyFont="1" applyFill="1" applyBorder="1" applyAlignment="1" applyProtection="1">
      <protection locked="0"/>
    </xf>
    <xf numFmtId="3" fontId="21" fillId="0" borderId="2" xfId="0" applyNumberFormat="1" applyFont="1" applyFill="1" applyBorder="1" applyAlignment="1" applyProtection="1"/>
    <xf numFmtId="3" fontId="21" fillId="0" borderId="53" xfId="0" applyNumberFormat="1" applyFont="1" applyFill="1" applyBorder="1" applyAlignment="1" applyProtection="1"/>
    <xf numFmtId="165" fontId="7" fillId="2" borderId="56" xfId="0" applyNumberFormat="1" applyFont="1" applyFill="1" applyBorder="1" applyAlignment="1" applyProtection="1">
      <alignment horizontal="center"/>
      <protection locked="0"/>
    </xf>
    <xf numFmtId="165" fontId="7" fillId="2" borderId="57" xfId="0" applyNumberFormat="1" applyFont="1" applyFill="1" applyBorder="1" applyAlignment="1" applyProtection="1">
      <alignment horizontal="center"/>
      <protection locked="0"/>
    </xf>
    <xf numFmtId="170" fontId="0" fillId="9" borderId="2" xfId="0" applyFill="1" applyBorder="1" applyProtection="1"/>
    <xf numFmtId="170" fontId="0" fillId="6" borderId="2" xfId="0" applyFill="1" applyBorder="1" applyProtection="1"/>
    <xf numFmtId="49" fontId="18" fillId="0" borderId="58" xfId="0" applyNumberFormat="1" applyFont="1" applyFill="1" applyBorder="1" applyAlignment="1" applyProtection="1">
      <alignment vertical="center" wrapText="1"/>
    </xf>
    <xf numFmtId="170" fontId="63" fillId="0" borderId="59" xfId="0" applyNumberFormat="1" applyFont="1" applyFill="1" applyBorder="1" applyAlignment="1" applyProtection="1">
      <alignment horizontal="center" vertical="center" wrapText="1"/>
    </xf>
    <xf numFmtId="170" fontId="63" fillId="0" borderId="60" xfId="0" applyNumberFormat="1" applyFont="1" applyFill="1" applyBorder="1" applyAlignment="1" applyProtection="1">
      <alignment horizontal="center" vertical="center" wrapText="1"/>
    </xf>
    <xf numFmtId="170" fontId="19" fillId="0" borderId="61" xfId="0" applyFont="1" applyFill="1" applyBorder="1" applyAlignment="1" applyProtection="1">
      <alignment wrapText="1"/>
      <protection locked="0"/>
    </xf>
    <xf numFmtId="170" fontId="0" fillId="0" borderId="62" xfId="0" applyBorder="1" applyAlignment="1" applyProtection="1"/>
    <xf numFmtId="49" fontId="0" fillId="0" borderId="2" xfId="0" applyNumberFormat="1" applyBorder="1" applyAlignment="1" applyProtection="1">
      <alignment horizontal="center"/>
      <protection locked="0"/>
    </xf>
    <xf numFmtId="49" fontId="0" fillId="6" borderId="2" xfId="0" applyNumberFormat="1" applyFill="1" applyBorder="1" applyProtection="1">
      <protection locked="0"/>
    </xf>
    <xf numFmtId="170" fontId="0" fillId="6" borderId="2" xfId="0" applyNumberFormat="1" applyFill="1" applyBorder="1" applyProtection="1">
      <protection locked="0"/>
    </xf>
    <xf numFmtId="170" fontId="0" fillId="0" borderId="2" xfId="0" applyNumberFormat="1" applyFill="1" applyBorder="1" applyProtection="1"/>
    <xf numFmtId="170" fontId="0" fillId="6" borderId="2" xfId="0" applyNumberFormat="1" applyFill="1" applyBorder="1" applyAlignment="1" applyProtection="1">
      <alignment horizontal="center"/>
      <protection locked="0"/>
    </xf>
    <xf numFmtId="49" fontId="0" fillId="6" borderId="45" xfId="0" applyNumberFormat="1" applyFill="1" applyBorder="1" applyAlignment="1" applyProtection="1">
      <alignment horizontal="left"/>
      <protection locked="0"/>
    </xf>
    <xf numFmtId="170" fontId="0" fillId="6" borderId="45" xfId="0" applyNumberFormat="1" applyFill="1" applyBorder="1" applyProtection="1">
      <protection locked="0"/>
    </xf>
    <xf numFmtId="170" fontId="0" fillId="6" borderId="45" xfId="0" applyNumberFormat="1" applyFill="1" applyBorder="1" applyAlignment="1" applyProtection="1">
      <alignment horizontal="center"/>
      <protection locked="0"/>
    </xf>
    <xf numFmtId="164" fontId="105" fillId="9" borderId="63" xfId="23" applyFill="1" applyBorder="1" applyAlignment="1" applyProtection="1">
      <alignment vertical="center"/>
    </xf>
    <xf numFmtId="170" fontId="0" fillId="5" borderId="64" xfId="0" applyFill="1" applyBorder="1"/>
    <xf numFmtId="170" fontId="0" fillId="0" borderId="12" xfId="0" applyBorder="1" applyProtection="1"/>
    <xf numFmtId="164" fontId="32" fillId="6" borderId="65" xfId="23" applyFont="1" applyFill="1" applyBorder="1" applyAlignment="1" applyProtection="1">
      <alignment horizontal="center" vertical="center"/>
    </xf>
    <xf numFmtId="164" fontId="32" fillId="0" borderId="66" xfId="23" applyFont="1" applyFill="1" applyBorder="1" applyAlignment="1" applyProtection="1">
      <alignment vertical="center"/>
    </xf>
    <xf numFmtId="170" fontId="0" fillId="0" borderId="67" xfId="0" applyNumberFormat="1" applyFill="1" applyBorder="1"/>
    <xf numFmtId="15" fontId="20" fillId="0" borderId="68" xfId="0" applyNumberFormat="1" applyFont="1" applyFill="1" applyBorder="1" applyAlignment="1" applyProtection="1">
      <alignment horizontal="center" vertical="center" wrapText="1"/>
    </xf>
    <xf numFmtId="170" fontId="0" fillId="0" borderId="2" xfId="0" quotePrefix="1" applyNumberFormat="1" applyBorder="1" applyAlignment="1">
      <alignment horizontal="center"/>
    </xf>
    <xf numFmtId="168" fontId="0" fillId="0" borderId="2" xfId="0" applyNumberFormat="1" applyFill="1" applyBorder="1" applyAlignment="1" applyProtection="1">
      <alignment horizontal="center"/>
    </xf>
    <xf numFmtId="164" fontId="47" fillId="0" borderId="2" xfId="16" applyFont="1" applyBorder="1" applyAlignment="1" applyProtection="1">
      <alignment horizontal="center"/>
    </xf>
    <xf numFmtId="170" fontId="47" fillId="0" borderId="2" xfId="0" applyFont="1" applyBorder="1" applyAlignment="1" applyProtection="1">
      <alignment horizontal="center"/>
    </xf>
    <xf numFmtId="168" fontId="0" fillId="3" borderId="2" xfId="0" applyNumberFormat="1" applyFill="1" applyBorder="1" applyAlignment="1" applyProtection="1">
      <alignment horizontal="center"/>
    </xf>
    <xf numFmtId="168" fontId="0" fillId="0" borderId="2" xfId="0" applyNumberFormat="1" applyBorder="1" applyAlignment="1" applyProtection="1">
      <alignment horizontal="center"/>
    </xf>
    <xf numFmtId="168" fontId="0" fillId="3" borderId="45" xfId="0" applyNumberFormat="1" applyFill="1" applyBorder="1" applyAlignment="1" applyProtection="1">
      <alignment horizontal="center"/>
    </xf>
    <xf numFmtId="168" fontId="0" fillId="0" borderId="45" xfId="0" applyNumberFormat="1" applyBorder="1" applyAlignment="1" applyProtection="1">
      <alignment horizontal="center"/>
    </xf>
    <xf numFmtId="170" fontId="45" fillId="10" borderId="2" xfId="0" applyFont="1" applyFill="1" applyBorder="1" applyAlignment="1" applyProtection="1">
      <alignment horizontal="center"/>
    </xf>
    <xf numFmtId="170" fontId="45" fillId="11" borderId="2" xfId="0" applyFont="1" applyFill="1" applyBorder="1" applyAlignment="1" applyProtection="1">
      <alignment horizontal="center"/>
    </xf>
    <xf numFmtId="3" fontId="45" fillId="12" borderId="2" xfId="0" applyNumberFormat="1" applyFont="1" applyFill="1" applyBorder="1" applyAlignment="1" applyProtection="1">
      <alignment vertical="center"/>
      <protection locked="0"/>
    </xf>
    <xf numFmtId="3" fontId="45" fillId="12" borderId="20" xfId="0" applyNumberFormat="1" applyFont="1" applyFill="1" applyBorder="1" applyAlignment="1" applyProtection="1">
      <alignment vertical="center"/>
      <protection locked="0"/>
    </xf>
    <xf numFmtId="3" fontId="45" fillId="7" borderId="20" xfId="0" applyNumberFormat="1" applyFont="1" applyFill="1" applyBorder="1" applyAlignment="1" applyProtection="1">
      <alignment horizontal="right" vertical="center"/>
      <protection locked="0"/>
    </xf>
    <xf numFmtId="170" fontId="0" fillId="0" borderId="81" xfId="0" applyBorder="1"/>
    <xf numFmtId="170" fontId="0" fillId="0" borderId="45" xfId="0" applyNumberFormat="1" applyFill="1" applyBorder="1" applyProtection="1"/>
    <xf numFmtId="3" fontId="0" fillId="0" borderId="45" xfId="0" applyNumberFormat="1" applyFill="1" applyBorder="1" applyProtection="1"/>
    <xf numFmtId="168" fontId="0" fillId="0" borderId="45" xfId="0" applyNumberFormat="1" applyFill="1" applyBorder="1" applyAlignment="1" applyProtection="1">
      <alignment horizontal="center"/>
    </xf>
    <xf numFmtId="170" fontId="0" fillId="0" borderId="82" xfId="0" applyBorder="1" applyAlignment="1" applyProtection="1">
      <alignment horizontal="center" wrapText="1"/>
    </xf>
    <xf numFmtId="3" fontId="0" fillId="0" borderId="45" xfId="0" applyNumberFormat="1" applyBorder="1" applyAlignment="1" applyProtection="1">
      <alignment horizontal="right" wrapText="1"/>
    </xf>
    <xf numFmtId="3" fontId="0" fillId="6" borderId="83" xfId="0" applyNumberFormat="1" applyFill="1" applyBorder="1" applyAlignment="1" applyProtection="1">
      <alignment horizontal="right" wrapText="1"/>
      <protection locked="0"/>
    </xf>
    <xf numFmtId="168" fontId="0" fillId="0" borderId="83" xfId="0" applyNumberFormat="1" applyFill="1" applyBorder="1" applyProtection="1"/>
    <xf numFmtId="168" fontId="0" fillId="0" borderId="84" xfId="0" applyNumberFormat="1" applyFill="1" applyBorder="1" applyProtection="1"/>
    <xf numFmtId="3" fontId="101" fillId="7" borderId="2" xfId="0" applyNumberFormat="1" applyFont="1" applyFill="1" applyBorder="1" applyAlignment="1" applyProtection="1">
      <alignment vertical="center"/>
      <protection locked="0"/>
    </xf>
    <xf numFmtId="3" fontId="101" fillId="7" borderId="2" xfId="0" applyNumberFormat="1" applyFont="1" applyFill="1" applyBorder="1" applyAlignment="1" applyProtection="1">
      <alignment horizontal="right" vertical="center"/>
      <protection locked="0"/>
    </xf>
    <xf numFmtId="3" fontId="45" fillId="12" borderId="2" xfId="0" applyNumberFormat="1" applyFont="1" applyFill="1" applyBorder="1" applyAlignment="1" applyProtection="1">
      <alignment horizontal="right" vertical="center"/>
      <protection locked="0"/>
    </xf>
    <xf numFmtId="49" fontId="19" fillId="0" borderId="61" xfId="0" applyNumberFormat="1" applyFont="1" applyFill="1" applyBorder="1" applyAlignment="1" applyProtection="1">
      <alignment horizontal="justify" wrapText="1"/>
      <protection locked="0"/>
    </xf>
    <xf numFmtId="49" fontId="19" fillId="0" borderId="61" xfId="0" applyNumberFormat="1" applyFont="1" applyFill="1" applyBorder="1" applyAlignment="1" applyProtection="1">
      <alignment horizontal="justify"/>
      <protection locked="0"/>
    </xf>
    <xf numFmtId="170" fontId="101" fillId="0" borderId="2" xfId="0" applyFont="1" applyFill="1" applyBorder="1" applyAlignment="1" applyProtection="1">
      <alignment horizontal="center"/>
    </xf>
    <xf numFmtId="170" fontId="101" fillId="10" borderId="2" xfId="0" applyFont="1" applyFill="1" applyBorder="1" applyAlignment="1" applyProtection="1">
      <alignment horizontal="center"/>
    </xf>
    <xf numFmtId="170" fontId="0" fillId="0" borderId="13" xfId="0" applyBorder="1" applyAlignment="1" applyProtection="1">
      <alignment horizontal="center"/>
    </xf>
    <xf numFmtId="164" fontId="102" fillId="0" borderId="12" xfId="23" applyFont="1" applyFill="1" applyBorder="1" applyAlignment="1" applyProtection="1">
      <alignment vertical="center"/>
    </xf>
    <xf numFmtId="170" fontId="0" fillId="0" borderId="0" xfId="0" applyAlignment="1"/>
    <xf numFmtId="164" fontId="26" fillId="0" borderId="0" xfId="0" applyNumberFormat="1" applyFont="1" applyAlignment="1" applyProtection="1">
      <alignment horizontal="center"/>
    </xf>
    <xf numFmtId="170" fontId="51" fillId="0" borderId="85" xfId="0" applyFont="1" applyFill="1" applyBorder="1" applyAlignment="1" applyProtection="1">
      <alignment horizontal="center" vertical="center" wrapText="1"/>
    </xf>
    <xf numFmtId="170" fontId="101" fillId="0" borderId="79" xfId="0" applyFont="1" applyFill="1" applyBorder="1" applyAlignment="1" applyProtection="1">
      <alignment horizontal="center"/>
    </xf>
    <xf numFmtId="49" fontId="56" fillId="0" borderId="2" xfId="0" applyNumberFormat="1" applyFont="1" applyBorder="1" applyAlignment="1" applyProtection="1">
      <alignment horizontal="center" wrapText="1"/>
      <protection locked="0"/>
    </xf>
    <xf numFmtId="170" fontId="103" fillId="0" borderId="86" xfId="0" applyFont="1" applyFill="1" applyBorder="1" applyAlignment="1" applyProtection="1">
      <alignment wrapText="1"/>
    </xf>
    <xf numFmtId="170" fontId="27" fillId="0" borderId="24" xfId="0" applyFont="1" applyFill="1" applyBorder="1" applyAlignment="1" applyProtection="1">
      <alignment horizontal="center" wrapText="1"/>
    </xf>
    <xf numFmtId="170" fontId="0" fillId="0" borderId="0" xfId="0" applyFill="1" applyProtection="1"/>
    <xf numFmtId="170" fontId="85" fillId="0" borderId="0" xfId="0" applyFont="1" applyFill="1" applyAlignment="1" applyProtection="1">
      <alignment horizontal="right"/>
    </xf>
    <xf numFmtId="170" fontId="101" fillId="5" borderId="88" xfId="0" applyNumberFormat="1" applyFont="1" applyFill="1" applyBorder="1" applyAlignment="1" applyProtection="1">
      <alignment vertical="center" wrapText="1"/>
      <protection locked="0"/>
    </xf>
    <xf numFmtId="170" fontId="101" fillId="7" borderId="88" xfId="0" applyNumberFormat="1" applyFont="1" applyFill="1" applyBorder="1" applyAlignment="1" applyProtection="1">
      <alignment vertical="center" wrapText="1"/>
      <protection locked="0"/>
    </xf>
    <xf numFmtId="170" fontId="101" fillId="7" borderId="89" xfId="0" applyNumberFormat="1" applyFont="1" applyFill="1" applyBorder="1" applyAlignment="1" applyProtection="1">
      <alignment vertical="center" wrapText="1"/>
      <protection locked="0"/>
    </xf>
    <xf numFmtId="170" fontId="106" fillId="0" borderId="0" xfId="0" applyFont="1" applyAlignment="1" applyProtection="1">
      <alignment horizontal="left" vertical="center"/>
    </xf>
    <xf numFmtId="170" fontId="106" fillId="0" borderId="0" xfId="0" applyFont="1" applyAlignment="1">
      <alignment horizontal="left" vertical="center"/>
    </xf>
    <xf numFmtId="170" fontId="0" fillId="0" borderId="0" xfId="0" applyAlignment="1">
      <alignment horizontal="center"/>
    </xf>
    <xf numFmtId="170" fontId="0" fillId="0" borderId="0" xfId="0" applyAlignment="1" applyProtection="1">
      <alignment horizontal="center"/>
    </xf>
    <xf numFmtId="170" fontId="0" fillId="3" borderId="0" xfId="0" applyFill="1" applyAlignment="1" applyProtection="1">
      <alignment horizontal="center"/>
    </xf>
    <xf numFmtId="3" fontId="30" fillId="0" borderId="38" xfId="0" applyNumberFormat="1" applyFont="1" applyFill="1" applyBorder="1" applyAlignment="1" applyProtection="1">
      <alignment horizontal="center"/>
    </xf>
    <xf numFmtId="3" fontId="30" fillId="0" borderId="82" xfId="0" applyNumberFormat="1" applyFont="1" applyFill="1" applyBorder="1" applyAlignment="1" applyProtection="1">
      <alignment horizontal="center"/>
    </xf>
    <xf numFmtId="171" fontId="17" fillId="6" borderId="25" xfId="20" applyNumberFormat="1" applyFont="1" applyFill="1" applyBorder="1" applyAlignment="1" applyProtection="1">
      <alignment horizontal="center" vertical="center"/>
    </xf>
    <xf numFmtId="171" fontId="17" fillId="6" borderId="25" xfId="20" applyNumberFormat="1" applyFont="1" applyFill="1" applyBorder="1" applyAlignment="1" applyProtection="1">
      <alignment horizontal="center"/>
    </xf>
    <xf numFmtId="170" fontId="51" fillId="0" borderId="90" xfId="0" applyFont="1" applyFill="1" applyBorder="1" applyAlignment="1" applyProtection="1">
      <alignment horizontal="center" vertical="center" wrapText="1"/>
    </xf>
    <xf numFmtId="170" fontId="38" fillId="0" borderId="91" xfId="0" applyNumberFormat="1" applyFont="1" applyFill="1" applyBorder="1" applyAlignment="1" applyProtection="1">
      <alignment horizontal="right"/>
    </xf>
    <xf numFmtId="170" fontId="51" fillId="0" borderId="92" xfId="0" applyFont="1" applyFill="1" applyBorder="1" applyAlignment="1" applyProtection="1">
      <alignment horizontal="center"/>
    </xf>
    <xf numFmtId="170" fontId="38" fillId="0" borderId="93" xfId="0" applyNumberFormat="1" applyFont="1" applyFill="1" applyBorder="1" applyAlignment="1" applyProtection="1">
      <alignment horizontal="right"/>
    </xf>
    <xf numFmtId="170" fontId="51" fillId="0" borderId="94" xfId="0" applyFont="1" applyFill="1" applyBorder="1" applyAlignment="1" applyProtection="1">
      <alignment horizontal="center"/>
    </xf>
    <xf numFmtId="170" fontId="38" fillId="0" borderId="95" xfId="0" applyNumberFormat="1" applyFont="1" applyFill="1" applyBorder="1" applyAlignment="1" applyProtection="1">
      <alignment horizontal="right"/>
    </xf>
    <xf numFmtId="170" fontId="51" fillId="0" borderId="96" xfId="0" applyNumberFormat="1" applyFont="1" applyFill="1" applyBorder="1" applyAlignment="1" applyProtection="1">
      <alignment horizontal="center"/>
    </xf>
    <xf numFmtId="170" fontId="38" fillId="0" borderId="97" xfId="0" applyNumberFormat="1" applyFont="1" applyFill="1" applyBorder="1" applyAlignment="1" applyProtection="1">
      <alignment horizontal="right"/>
    </xf>
    <xf numFmtId="170" fontId="51" fillId="0" borderId="98" xfId="0" applyNumberFormat="1" applyFont="1" applyFill="1" applyBorder="1" applyAlignment="1" applyProtection="1">
      <alignment horizontal="center" vertical="center"/>
    </xf>
    <xf numFmtId="170" fontId="38" fillId="0" borderId="99" xfId="0" applyNumberFormat="1" applyFont="1" applyFill="1" applyBorder="1" applyAlignment="1" applyProtection="1">
      <alignment horizontal="right"/>
    </xf>
    <xf numFmtId="170" fontId="51" fillId="0" borderId="100" xfId="0" applyNumberFormat="1" applyFont="1" applyFill="1" applyBorder="1" applyAlignment="1" applyProtection="1">
      <alignment horizontal="center"/>
    </xf>
    <xf numFmtId="170" fontId="38" fillId="0" borderId="101" xfId="0" applyNumberFormat="1" applyFont="1" applyFill="1" applyBorder="1" applyAlignment="1" applyProtection="1">
      <alignment horizontal="right"/>
    </xf>
    <xf numFmtId="170" fontId="51" fillId="0" borderId="100" xfId="0" applyNumberFormat="1" applyFont="1" applyFill="1" applyBorder="1" applyAlignment="1" applyProtection="1">
      <alignment horizontal="center" vertical="center"/>
    </xf>
    <xf numFmtId="3" fontId="80" fillId="9" borderId="46" xfId="0" applyNumberFormat="1" applyFont="1" applyFill="1" applyBorder="1" applyAlignment="1" applyProtection="1">
      <protection locked="0"/>
    </xf>
    <xf numFmtId="3" fontId="80" fillId="9" borderId="52" xfId="0" applyNumberFormat="1" applyFont="1" applyFill="1" applyBorder="1" applyAlignment="1" applyProtection="1">
      <protection locked="0"/>
    </xf>
    <xf numFmtId="3" fontId="80" fillId="0" borderId="2" xfId="0" applyNumberFormat="1" applyFont="1" applyFill="1" applyBorder="1" applyAlignment="1" applyProtection="1"/>
    <xf numFmtId="3" fontId="80" fillId="0" borderId="53" xfId="0" applyNumberFormat="1" applyFont="1" applyFill="1" applyBorder="1" applyAlignment="1" applyProtection="1"/>
    <xf numFmtId="3" fontId="14" fillId="9" borderId="102" xfId="1" applyNumberFormat="1" applyFont="1" applyFill="1" applyBorder="1" applyAlignment="1" applyProtection="1">
      <protection locked="0"/>
    </xf>
    <xf numFmtId="3" fontId="14" fillId="9" borderId="103" xfId="1" applyNumberFormat="1" applyFont="1" applyFill="1" applyBorder="1" applyProtection="1">
      <protection locked="0"/>
    </xf>
    <xf numFmtId="3" fontId="14" fillId="9" borderId="2" xfId="1" applyNumberFormat="1" applyFont="1" applyFill="1" applyBorder="1" applyAlignment="1" applyProtection="1">
      <protection locked="0"/>
    </xf>
    <xf numFmtId="3" fontId="14" fillId="9" borderId="2" xfId="1" quotePrefix="1" applyNumberFormat="1" applyFont="1" applyFill="1" applyBorder="1" applyProtection="1">
      <protection locked="0"/>
    </xf>
    <xf numFmtId="3" fontId="14" fillId="9" borderId="106" xfId="1" applyNumberFormat="1" applyFont="1" applyFill="1" applyBorder="1" applyAlignment="1" applyProtection="1">
      <protection locked="0"/>
    </xf>
    <xf numFmtId="3" fontId="107" fillId="6" borderId="2" xfId="0" applyNumberFormat="1" applyFont="1" applyFill="1" applyBorder="1" applyAlignment="1" applyProtection="1">
      <alignment horizontal="right" wrapText="1"/>
      <protection locked="0"/>
    </xf>
    <xf numFmtId="3" fontId="107" fillId="0" borderId="2" xfId="0" applyNumberFormat="1" applyFont="1" applyBorder="1" applyAlignment="1" applyProtection="1">
      <alignment horizontal="right" wrapText="1"/>
    </xf>
    <xf numFmtId="3" fontId="107" fillId="0" borderId="45" xfId="0" applyNumberFormat="1" applyFont="1" applyBorder="1" applyAlignment="1" applyProtection="1">
      <alignment horizontal="right" wrapText="1"/>
    </xf>
    <xf numFmtId="3" fontId="108" fillId="9" borderId="83" xfId="0" applyNumberFormat="1" applyFont="1" applyFill="1" applyBorder="1" applyAlignment="1" applyProtection="1">
      <alignment horizontal="centerContinuous"/>
    </xf>
    <xf numFmtId="0" fontId="109" fillId="0" borderId="0" xfId="0" applyNumberFormat="1" applyFont="1" applyAlignment="1" applyProtection="1">
      <alignment horizontal="center" vertical="center"/>
    </xf>
    <xf numFmtId="171" fontId="21" fillId="0" borderId="0" xfId="0" applyNumberFormat="1" applyFont="1" applyAlignment="1" applyProtection="1">
      <alignment horizontal="center"/>
    </xf>
    <xf numFmtId="171" fontId="21" fillId="0" borderId="0" xfId="0" applyNumberFormat="1" applyFont="1"/>
    <xf numFmtId="170" fontId="104" fillId="5" borderId="29" xfId="0" applyFont="1" applyFill="1" applyBorder="1" applyAlignment="1">
      <alignment horizontal="justify" vertical="center" wrapText="1"/>
    </xf>
    <xf numFmtId="170" fontId="104" fillId="5" borderId="30" xfId="0" applyFont="1" applyFill="1" applyBorder="1" applyAlignment="1">
      <alignment horizontal="justify" vertical="center" wrapText="1"/>
    </xf>
    <xf numFmtId="170" fontId="92" fillId="5" borderId="28" xfId="0" applyFont="1" applyFill="1" applyBorder="1" applyAlignment="1">
      <alignment horizontal="justify" vertical="center" wrapText="1"/>
    </xf>
    <xf numFmtId="170" fontId="92" fillId="5" borderId="29" xfId="0" applyFont="1" applyFill="1" applyBorder="1" applyAlignment="1">
      <alignment horizontal="justify" vertical="center" wrapText="1"/>
    </xf>
    <xf numFmtId="170" fontId="92" fillId="5" borderId="30" xfId="0" applyFont="1" applyFill="1" applyBorder="1" applyAlignment="1">
      <alignment horizontal="justify" vertical="center" wrapText="1"/>
    </xf>
    <xf numFmtId="170" fontId="101" fillId="19" borderId="2" xfId="0" applyFont="1" applyFill="1" applyBorder="1" applyAlignment="1" applyProtection="1">
      <alignment horizontal="center"/>
    </xf>
    <xf numFmtId="175" fontId="21" fillId="0" borderId="2" xfId="0" applyNumberFormat="1" applyFont="1" applyBorder="1" applyAlignment="1" applyProtection="1">
      <alignment horizontal="center" vertical="center" wrapText="1"/>
    </xf>
    <xf numFmtId="175" fontId="21" fillId="0" borderId="2" xfId="0" applyNumberFormat="1" applyFont="1" applyFill="1" applyBorder="1" applyAlignment="1" applyProtection="1">
      <alignment horizontal="center" vertical="center" wrapText="1"/>
    </xf>
    <xf numFmtId="168" fontId="101" fillId="7" borderId="2" xfId="0" applyNumberFormat="1" applyFont="1" applyFill="1" applyBorder="1" applyAlignment="1" applyProtection="1">
      <alignment horizontal="right" vertical="center"/>
      <protection locked="0"/>
    </xf>
    <xf numFmtId="168" fontId="45" fillId="7" borderId="2" xfId="0" applyNumberFormat="1" applyFont="1" applyFill="1" applyBorder="1" applyAlignment="1" applyProtection="1">
      <alignment horizontal="right" vertical="center"/>
      <protection locked="0"/>
    </xf>
    <xf numFmtId="1" fontId="107" fillId="9" borderId="39" xfId="0" applyNumberFormat="1" applyFont="1" applyFill="1" applyBorder="1" applyAlignment="1" applyProtection="1">
      <alignment horizontal="center"/>
      <protection locked="0"/>
    </xf>
    <xf numFmtId="1" fontId="107" fillId="9" borderId="53" xfId="0" applyNumberFormat="1" applyFont="1" applyFill="1" applyBorder="1" applyAlignment="1" applyProtection="1">
      <alignment horizontal="center"/>
      <protection locked="0"/>
    </xf>
    <xf numFmtId="1" fontId="107" fillId="9" borderId="107" xfId="0" applyNumberFormat="1" applyFont="1" applyFill="1" applyBorder="1" applyAlignment="1" applyProtection="1">
      <alignment horizontal="center"/>
      <protection locked="0"/>
    </xf>
    <xf numFmtId="165" fontId="8" fillId="0" borderId="0" xfId="0" applyNumberFormat="1" applyFont="1" applyFill="1"/>
    <xf numFmtId="165" fontId="8" fillId="0" borderId="0" xfId="0" applyNumberFormat="1" applyFont="1" applyFill="1" applyProtection="1"/>
    <xf numFmtId="170" fontId="77" fillId="0" borderId="0" xfId="0" applyFont="1" applyFill="1" applyBorder="1" applyAlignment="1" applyProtection="1">
      <alignment horizontal="center" vertical="center"/>
    </xf>
    <xf numFmtId="170" fontId="4" fillId="0" borderId="0" xfId="0" applyFont="1" applyFill="1" applyBorder="1" applyAlignment="1" applyProtection="1">
      <alignment horizontal="centerContinuous"/>
    </xf>
    <xf numFmtId="15" fontId="4" fillId="0" borderId="0" xfId="0" applyNumberFormat="1" applyFont="1" applyFill="1" applyBorder="1" applyAlignment="1" applyProtection="1">
      <alignment horizontal="centerContinuous"/>
    </xf>
    <xf numFmtId="15" fontId="4" fillId="0" borderId="0" xfId="0" applyNumberFormat="1" applyFont="1" applyFill="1" applyBorder="1" applyAlignment="1" applyProtection="1">
      <alignment horizontal="center"/>
    </xf>
    <xf numFmtId="3" fontId="107" fillId="0" borderId="83" xfId="0" applyNumberFormat="1" applyFont="1" applyBorder="1" applyAlignment="1" applyProtection="1">
      <alignment horizontal="right" wrapText="1"/>
    </xf>
    <xf numFmtId="3" fontId="107" fillId="0" borderId="84" xfId="0" applyNumberFormat="1" applyFont="1" applyBorder="1" applyAlignment="1" applyProtection="1">
      <alignment horizontal="right" wrapText="1"/>
    </xf>
    <xf numFmtId="3" fontId="0" fillId="0" borderId="0" xfId="0" applyNumberFormat="1" applyFill="1" applyBorder="1"/>
    <xf numFmtId="170" fontId="110" fillId="0" borderId="0" xfId="0" applyFont="1"/>
    <xf numFmtId="170" fontId="34" fillId="0" borderId="0" xfId="0" applyFont="1" applyAlignment="1">
      <alignment horizontal="center"/>
    </xf>
    <xf numFmtId="170" fontId="34" fillId="0" borderId="0" xfId="0" applyFont="1" applyBorder="1" applyAlignment="1">
      <alignment horizontal="center"/>
    </xf>
    <xf numFmtId="49" fontId="107" fillId="0" borderId="2" xfId="0" applyNumberFormat="1" applyFont="1" applyFill="1" applyBorder="1" applyAlignment="1" applyProtection="1">
      <alignment horizontal="center"/>
      <protection locked="0"/>
    </xf>
    <xf numFmtId="170" fontId="114" fillId="0" borderId="0" xfId="0" applyFont="1" applyFill="1" applyBorder="1" applyAlignment="1" applyProtection="1">
      <alignment horizontal="right"/>
    </xf>
    <xf numFmtId="171" fontId="14" fillId="0" borderId="2" xfId="20" applyNumberFormat="1" applyFont="1" applyFill="1" applyBorder="1" applyAlignment="1" applyProtection="1">
      <alignment horizontal="center"/>
      <protection locked="0"/>
    </xf>
    <xf numFmtId="170" fontId="114" fillId="0" borderId="87" xfId="0" applyFont="1" applyFill="1" applyBorder="1" applyAlignment="1" applyProtection="1">
      <alignment horizontal="right"/>
    </xf>
    <xf numFmtId="3" fontId="14" fillId="9" borderId="46" xfId="0" applyNumberFormat="1" applyFont="1" applyFill="1" applyBorder="1" applyAlignment="1" applyProtection="1">
      <protection locked="0"/>
    </xf>
    <xf numFmtId="3" fontId="14" fillId="0" borderId="220" xfId="0" applyNumberFormat="1" applyFont="1" applyFill="1" applyBorder="1" applyAlignment="1" applyProtection="1"/>
    <xf numFmtId="1" fontId="14" fillId="3" borderId="108" xfId="0" applyNumberFormat="1" applyFont="1" applyFill="1" applyBorder="1" applyAlignment="1" applyProtection="1">
      <alignment horizontal="center"/>
    </xf>
    <xf numFmtId="1" fontId="107" fillId="9" borderId="2" xfId="0" applyNumberFormat="1" applyFont="1" applyFill="1" applyBorder="1" applyAlignment="1" applyProtection="1">
      <alignment horizontal="center"/>
      <protection locked="0"/>
    </xf>
    <xf numFmtId="3" fontId="107" fillId="6" borderId="32" xfId="0" applyNumberFormat="1" applyFont="1" applyFill="1" applyBorder="1" applyAlignment="1" applyProtection="1">
      <alignment horizontal="center"/>
      <protection locked="0"/>
    </xf>
    <xf numFmtId="3" fontId="107" fillId="0" borderId="17" xfId="0" applyNumberFormat="1" applyFont="1" applyFill="1" applyBorder="1" applyAlignment="1" applyProtection="1">
      <alignment horizontal="center"/>
    </xf>
    <xf numFmtId="3" fontId="107" fillId="6" borderId="17" xfId="0" applyNumberFormat="1" applyFont="1" applyFill="1" applyBorder="1" applyAlignment="1" applyProtection="1">
      <alignment horizontal="center"/>
      <protection locked="0"/>
    </xf>
    <xf numFmtId="170" fontId="107" fillId="0" borderId="0" xfId="0" applyFont="1" applyBorder="1" applyProtection="1"/>
    <xf numFmtId="1" fontId="107" fillId="6" borderId="2" xfId="0" applyNumberFormat="1" applyFont="1" applyFill="1" applyBorder="1" applyAlignment="1" applyProtection="1">
      <alignment horizontal="center"/>
      <protection locked="0"/>
    </xf>
    <xf numFmtId="1" fontId="107" fillId="0" borderId="108" xfId="0" applyNumberFormat="1" applyFont="1" applyFill="1" applyBorder="1" applyAlignment="1" applyProtection="1">
      <alignment horizontal="center"/>
    </xf>
    <xf numFmtId="1" fontId="107" fillId="6" borderId="32" xfId="0" applyNumberFormat="1" applyFont="1" applyFill="1" applyBorder="1" applyAlignment="1" applyProtection="1">
      <alignment horizontal="center"/>
      <protection locked="0"/>
    </xf>
    <xf numFmtId="3" fontId="107" fillId="3" borderId="17" xfId="0" applyNumberFormat="1" applyFont="1" applyFill="1" applyBorder="1" applyAlignment="1" applyProtection="1">
      <alignment horizontal="center"/>
      <protection locked="0"/>
    </xf>
    <xf numFmtId="3" fontId="107" fillId="0" borderId="2" xfId="0" applyNumberFormat="1" applyFont="1" applyFill="1" applyBorder="1"/>
    <xf numFmtId="3" fontId="107" fillId="0" borderId="45" xfId="0" applyNumberFormat="1" applyFont="1" applyFill="1" applyBorder="1"/>
    <xf numFmtId="168" fontId="115" fillId="7" borderId="2" xfId="0" applyNumberFormat="1" applyFont="1" applyFill="1" applyBorder="1" applyAlignment="1" applyProtection="1">
      <alignment horizontal="right" vertical="center"/>
      <protection locked="0"/>
    </xf>
    <xf numFmtId="170" fontId="107" fillId="0" borderId="0" xfId="0" applyFont="1" applyBorder="1" applyAlignment="1">
      <alignment horizontal="left"/>
    </xf>
    <xf numFmtId="170" fontId="107" fillId="0" borderId="0" xfId="0" applyFont="1"/>
    <xf numFmtId="9" fontId="116" fillId="0" borderId="0" xfId="0" applyNumberFormat="1" applyFont="1" applyFill="1" applyBorder="1" applyAlignment="1" applyProtection="1"/>
    <xf numFmtId="170" fontId="92" fillId="0" borderId="0" xfId="0" applyFont="1" applyFill="1" applyBorder="1" applyAlignment="1" applyProtection="1">
      <alignment horizontal="center" vertical="center"/>
    </xf>
    <xf numFmtId="9" fontId="116" fillId="0" borderId="0" xfId="0" applyNumberFormat="1" applyFont="1" applyFill="1" applyBorder="1" applyAlignment="1" applyProtection="1">
      <alignment horizontal="center"/>
    </xf>
    <xf numFmtId="169" fontId="40" fillId="3" borderId="0" xfId="0" applyNumberFormat="1" applyFont="1" applyFill="1" applyBorder="1" applyAlignment="1" applyProtection="1">
      <alignment vertical="center"/>
    </xf>
    <xf numFmtId="170" fontId="92" fillId="3" borderId="0" xfId="0" applyFont="1" applyFill="1" applyBorder="1" applyAlignment="1" applyProtection="1">
      <alignment horizontal="center" vertical="center"/>
    </xf>
    <xf numFmtId="170" fontId="117" fillId="3" borderId="0" xfId="0" applyFont="1" applyFill="1" applyBorder="1" applyAlignment="1" applyProtection="1">
      <alignment horizontal="center" vertical="center"/>
    </xf>
    <xf numFmtId="168" fontId="40" fillId="3" borderId="0" xfId="19" applyNumberFormat="1" applyFont="1" applyFill="1" applyBorder="1" applyAlignment="1" applyProtection="1">
      <alignment horizontal="right"/>
    </xf>
    <xf numFmtId="9" fontId="116" fillId="3" borderId="0" xfId="0" applyNumberFormat="1" applyFont="1" applyFill="1" applyBorder="1" applyProtection="1"/>
    <xf numFmtId="9" fontId="116" fillId="3" borderId="0" xfId="0" applyNumberFormat="1" applyFont="1" applyFill="1" applyBorder="1" applyAlignment="1" applyProtection="1">
      <alignment horizontal="left"/>
    </xf>
    <xf numFmtId="170" fontId="23" fillId="0" borderId="0" xfId="0" applyFont="1" applyBorder="1" applyAlignment="1" applyProtection="1">
      <alignment horizontal="center" vertical="center"/>
    </xf>
    <xf numFmtId="170" fontId="40" fillId="3" borderId="0" xfId="0" applyFont="1" applyFill="1" applyBorder="1" applyAlignment="1" applyProtection="1">
      <alignment horizontal="left" vertical="center"/>
    </xf>
    <xf numFmtId="170" fontId="118" fillId="3" borderId="0" xfId="0" applyFont="1" applyFill="1" applyBorder="1" applyAlignment="1" applyProtection="1">
      <alignment horizontal="left" vertical="center"/>
    </xf>
    <xf numFmtId="170" fontId="41" fillId="0" borderId="0" xfId="0" applyFont="1" applyFill="1" applyBorder="1" applyAlignment="1" applyProtection="1">
      <alignment horizontal="right"/>
    </xf>
    <xf numFmtId="9" fontId="116" fillId="0" borderId="0" xfId="0" applyNumberFormat="1" applyFont="1" applyFill="1" applyBorder="1" applyProtection="1"/>
    <xf numFmtId="170" fontId="41" fillId="0" borderId="0" xfId="0" applyFont="1" applyFill="1" applyBorder="1" applyProtection="1"/>
    <xf numFmtId="170" fontId="120" fillId="0" borderId="0" xfId="0" applyFont="1" applyFill="1" applyBorder="1" applyProtection="1"/>
    <xf numFmtId="170" fontId="121" fillId="0" borderId="0" xfId="0" applyFont="1" applyFill="1" applyBorder="1" applyAlignment="1" applyProtection="1">
      <alignment horizontal="center" vertical="center"/>
    </xf>
    <xf numFmtId="170" fontId="122" fillId="0" borderId="0" xfId="0" applyFont="1" applyFill="1" applyBorder="1" applyAlignment="1" applyProtection="1">
      <alignment horizontal="center" vertical="center"/>
    </xf>
    <xf numFmtId="170" fontId="122" fillId="0" borderId="0" xfId="0" applyFont="1" applyFill="1" applyBorder="1" applyAlignment="1" applyProtection="1">
      <alignment horizontal="right" vertical="center" indent="1"/>
    </xf>
    <xf numFmtId="170" fontId="123" fillId="0" borderId="0" xfId="0" applyFont="1" applyFill="1" applyBorder="1" applyAlignment="1" applyProtection="1">
      <alignment horizontal="center"/>
    </xf>
    <xf numFmtId="170" fontId="51" fillId="0" borderId="70" xfId="0" applyNumberFormat="1" applyFont="1" applyFill="1" applyBorder="1" applyAlignment="1" applyProtection="1">
      <alignment horizontal="center" vertical="center"/>
    </xf>
    <xf numFmtId="170" fontId="23" fillId="0" borderId="21" xfId="0" applyNumberFormat="1" applyFont="1" applyFill="1" applyBorder="1" applyAlignment="1" applyProtection="1">
      <alignment vertical="center"/>
    </xf>
    <xf numFmtId="170" fontId="51" fillId="0" borderId="71" xfId="0" applyNumberFormat="1" applyFont="1" applyFill="1" applyBorder="1" applyAlignment="1" applyProtection="1">
      <alignment horizontal="center" vertical="center"/>
    </xf>
    <xf numFmtId="170" fontId="23" fillId="0" borderId="22" xfId="0" applyNumberFormat="1" applyFont="1" applyFill="1" applyBorder="1" applyAlignment="1" applyProtection="1">
      <alignment vertical="center"/>
    </xf>
    <xf numFmtId="170" fontId="51" fillId="0" borderId="72" xfId="0" applyNumberFormat="1" applyFont="1" applyFill="1" applyBorder="1" applyAlignment="1" applyProtection="1">
      <alignment horizontal="center" vertical="center"/>
    </xf>
    <xf numFmtId="170" fontId="23" fillId="0" borderId="27" xfId="0" applyNumberFormat="1" applyFont="1" applyFill="1" applyBorder="1" applyAlignment="1" applyProtection="1">
      <alignment vertical="center"/>
    </xf>
    <xf numFmtId="170" fontId="124" fillId="0" borderId="0" xfId="0" applyFont="1"/>
    <xf numFmtId="3" fontId="8" fillId="0" borderId="0" xfId="0" applyNumberFormat="1" applyFont="1" applyFill="1" applyProtection="1"/>
    <xf numFmtId="170" fontId="125" fillId="0" borderId="0" xfId="0" applyFont="1"/>
    <xf numFmtId="170" fontId="104" fillId="5" borderId="29" xfId="0" applyFont="1" applyFill="1" applyBorder="1" applyAlignment="1">
      <alignment horizontal="justify" vertical="center" wrapText="1"/>
    </xf>
    <xf numFmtId="170" fontId="104" fillId="5" borderId="30" xfId="0" applyFont="1" applyFill="1" applyBorder="1" applyAlignment="1">
      <alignment horizontal="justify" vertical="center" wrapText="1"/>
    </xf>
    <xf numFmtId="175" fontId="45" fillId="12" borderId="2" xfId="0" applyNumberFormat="1" applyFont="1" applyFill="1" applyBorder="1" applyAlignment="1" applyProtection="1">
      <alignment vertical="center"/>
      <protection locked="0"/>
    </xf>
    <xf numFmtId="0" fontId="109" fillId="0" borderId="0" xfId="0" applyNumberFormat="1" applyFont="1" applyAlignment="1" applyProtection="1">
      <alignment horizontal="left" vertical="center"/>
    </xf>
    <xf numFmtId="170" fontId="128" fillId="0" borderId="0" xfId="0" applyFont="1" applyAlignment="1">
      <alignment horizontal="center"/>
    </xf>
    <xf numFmtId="170" fontId="128" fillId="0" borderId="0" xfId="0" applyFont="1"/>
    <xf numFmtId="170" fontId="27" fillId="5" borderId="0" xfId="0" applyFont="1" applyFill="1" applyBorder="1" applyAlignment="1" applyProtection="1">
      <alignment horizontal="right" vertical="top" wrapText="1"/>
      <protection locked="0"/>
    </xf>
    <xf numFmtId="170" fontId="23" fillId="5" borderId="0" xfId="0" applyFont="1" applyFill="1" applyBorder="1" applyAlignment="1" applyProtection="1">
      <alignment horizontal="right" vertical="top" wrapText="1"/>
      <protection locked="0"/>
    </xf>
    <xf numFmtId="175" fontId="45" fillId="12" borderId="2" xfId="0" applyNumberFormat="1" applyFont="1" applyFill="1" applyBorder="1" applyAlignment="1" applyProtection="1">
      <alignment horizontal="right" vertical="center"/>
      <protection locked="0"/>
    </xf>
    <xf numFmtId="3" fontId="108" fillId="22" borderId="83" xfId="0" applyNumberFormat="1" applyFont="1" applyFill="1" applyBorder="1" applyAlignment="1" applyProtection="1">
      <alignment horizontal="centerContinuous"/>
    </xf>
    <xf numFmtId="3" fontId="108" fillId="22" borderId="84" xfId="0" applyNumberFormat="1" applyFont="1" applyFill="1" applyBorder="1" applyAlignment="1" applyProtection="1">
      <alignment horizontal="centerContinuous"/>
    </xf>
    <xf numFmtId="4" fontId="107" fillId="0" borderId="104" xfId="0" applyNumberFormat="1" applyFont="1" applyBorder="1" applyProtection="1"/>
    <xf numFmtId="4" fontId="14" fillId="0" borderId="54" xfId="1" applyNumberFormat="1" applyFont="1" applyFill="1" applyBorder="1" applyAlignment="1" applyProtection="1"/>
    <xf numFmtId="4" fontId="14" fillId="0" borderId="55" xfId="1" applyNumberFormat="1" applyFont="1" applyFill="1" applyBorder="1" applyAlignment="1" applyProtection="1"/>
    <xf numFmtId="170" fontId="8" fillId="0" borderId="0" xfId="0" applyFont="1" applyFill="1"/>
    <xf numFmtId="165" fontId="25" fillId="0" borderId="48" xfId="0" applyNumberFormat="1" applyFont="1" applyFill="1" applyBorder="1" applyAlignment="1" applyProtection="1">
      <alignment horizontal="center"/>
      <protection locked="0"/>
    </xf>
    <xf numFmtId="170" fontId="14" fillId="0" borderId="0" xfId="0" applyFont="1" applyFill="1"/>
    <xf numFmtId="170" fontId="14" fillId="0" borderId="0" xfId="0" applyNumberFormat="1" applyFont="1" applyFill="1"/>
    <xf numFmtId="3" fontId="0" fillId="0" borderId="0" xfId="0" applyNumberFormat="1" applyFill="1" applyProtection="1"/>
    <xf numFmtId="170" fontId="74" fillId="0" borderId="0" xfId="0" applyFont="1" applyFill="1" applyBorder="1" applyAlignment="1" applyProtection="1">
      <alignment horizontal="center"/>
    </xf>
    <xf numFmtId="170" fontId="126" fillId="0" borderId="0" xfId="0" applyFont="1"/>
    <xf numFmtId="170" fontId="130" fillId="5" borderId="0" xfId="0" applyFont="1" applyFill="1" applyBorder="1" applyAlignment="1" applyProtection="1">
      <alignment horizontal="left"/>
      <protection locked="0"/>
    </xf>
    <xf numFmtId="170" fontId="126" fillId="0" borderId="0" xfId="0" applyFont="1" applyBorder="1" applyAlignment="1">
      <alignment horizontal="left" wrapText="1"/>
    </xf>
    <xf numFmtId="3" fontId="14" fillId="18" borderId="46" xfId="0" applyNumberFormat="1" applyFont="1" applyFill="1" applyBorder="1" applyAlignment="1" applyProtection="1">
      <protection locked="0"/>
    </xf>
    <xf numFmtId="3" fontId="21" fillId="18" borderId="46" xfId="0" applyNumberFormat="1" applyFont="1" applyFill="1" applyBorder="1" applyAlignment="1" applyProtection="1">
      <protection locked="0"/>
    </xf>
    <xf numFmtId="3" fontId="80" fillId="18" borderId="46" xfId="0" applyNumberFormat="1" applyFont="1" applyFill="1" applyBorder="1" applyAlignment="1" applyProtection="1">
      <protection locked="0"/>
    </xf>
    <xf numFmtId="3" fontId="21" fillId="9" borderId="230" xfId="0" applyNumberFormat="1" applyFont="1" applyFill="1" applyBorder="1" applyAlignment="1" applyProtection="1">
      <protection locked="0"/>
    </xf>
    <xf numFmtId="3" fontId="80" fillId="9" borderId="230" xfId="0" applyNumberFormat="1" applyFont="1" applyFill="1" applyBorder="1" applyAlignment="1" applyProtection="1">
      <protection locked="0"/>
    </xf>
    <xf numFmtId="4" fontId="107" fillId="0" borderId="105" xfId="0" applyNumberFormat="1" applyFont="1" applyBorder="1" applyProtection="1"/>
    <xf numFmtId="4" fontId="14" fillId="9" borderId="2" xfId="1" applyNumberFormat="1" applyFont="1" applyFill="1" applyBorder="1" applyAlignment="1" applyProtection="1">
      <protection locked="0"/>
    </xf>
    <xf numFmtId="3" fontId="21" fillId="0" borderId="2" xfId="0" applyNumberFormat="1" applyFont="1" applyBorder="1" applyAlignment="1" applyProtection="1">
      <alignment horizontal="center" vertical="center" wrapText="1"/>
    </xf>
    <xf numFmtId="3" fontId="80" fillId="18" borderId="2" xfId="0" applyNumberFormat="1" applyFont="1" applyFill="1" applyBorder="1" applyAlignment="1" applyProtection="1">
      <alignment horizontal="center" vertical="center" wrapText="1"/>
    </xf>
    <xf numFmtId="3" fontId="21" fillId="18" borderId="2" xfId="0" applyNumberFormat="1" applyFont="1" applyFill="1" applyBorder="1" applyAlignment="1" applyProtection="1">
      <alignment horizontal="center" vertical="center" wrapText="1"/>
    </xf>
    <xf numFmtId="168" fontId="8" fillId="23" borderId="69" xfId="0" applyNumberFormat="1" applyFont="1" applyFill="1" applyBorder="1" applyAlignment="1" applyProtection="1">
      <alignment horizontal="center"/>
    </xf>
    <xf numFmtId="168" fontId="14" fillId="23" borderId="69" xfId="0" applyNumberFormat="1" applyFont="1" applyFill="1" applyBorder="1" applyAlignment="1" applyProtection="1">
      <alignment horizontal="center"/>
    </xf>
    <xf numFmtId="4" fontId="14" fillId="0" borderId="131" xfId="1" applyNumberFormat="1" applyFont="1" applyFill="1" applyBorder="1" applyAlignment="1" applyProtection="1"/>
    <xf numFmtId="176" fontId="79" fillId="0" borderId="0" xfId="19" applyNumberFormat="1" applyFont="1" applyFill="1" applyBorder="1" applyAlignment="1" applyProtection="1">
      <alignment horizontal="center"/>
    </xf>
    <xf numFmtId="175" fontId="45" fillId="0" borderId="2" xfId="0" applyNumberFormat="1" applyFont="1" applyFill="1" applyBorder="1" applyAlignment="1" applyProtection="1">
      <alignment horizontal="center" vertical="center"/>
    </xf>
    <xf numFmtId="3" fontId="45" fillId="0" borderId="20" xfId="0" applyNumberFormat="1" applyFont="1" applyFill="1" applyBorder="1" applyAlignment="1" applyProtection="1">
      <alignment horizontal="center" vertical="center"/>
    </xf>
    <xf numFmtId="4" fontId="45" fillId="0" borderId="2" xfId="0" applyNumberFormat="1" applyFont="1" applyFill="1" applyBorder="1" applyAlignment="1" applyProtection="1">
      <alignment horizontal="center" vertical="center"/>
    </xf>
    <xf numFmtId="175" fontId="45" fillId="10" borderId="2" xfId="0" applyNumberFormat="1" applyFont="1" applyFill="1" applyBorder="1" applyAlignment="1" applyProtection="1">
      <alignment horizontal="center" vertical="center"/>
    </xf>
    <xf numFmtId="3" fontId="45" fillId="10" borderId="20" xfId="0" applyNumberFormat="1" applyFont="1" applyFill="1" applyBorder="1" applyAlignment="1" applyProtection="1">
      <alignment horizontal="center" vertical="center"/>
    </xf>
    <xf numFmtId="175" fontId="45" fillId="0" borderId="79" xfId="0" applyNumberFormat="1" applyFont="1" applyFill="1" applyBorder="1" applyAlignment="1" applyProtection="1">
      <alignment horizontal="center" vertical="center"/>
    </xf>
    <xf numFmtId="3" fontId="45" fillId="0" borderId="80" xfId="0" applyNumberFormat="1" applyFont="1" applyFill="1" applyBorder="1" applyAlignment="1" applyProtection="1">
      <alignment horizontal="center" vertical="center"/>
    </xf>
    <xf numFmtId="168" fontId="45" fillId="5" borderId="2" xfId="0" applyNumberFormat="1" applyFont="1" applyFill="1" applyBorder="1" applyAlignment="1" applyProtection="1">
      <alignment horizontal="center" vertical="center"/>
      <protection locked="0"/>
    </xf>
    <xf numFmtId="168" fontId="115" fillId="5" borderId="2" xfId="0" applyNumberFormat="1" applyFont="1" applyFill="1" applyBorder="1" applyAlignment="1" applyProtection="1">
      <alignment horizontal="center" vertical="center"/>
      <protection locked="0"/>
    </xf>
    <xf numFmtId="168" fontId="101" fillId="5" borderId="2" xfId="0" applyNumberFormat="1" applyFont="1" applyFill="1" applyBorder="1" applyAlignment="1" applyProtection="1">
      <alignment horizontal="center" vertical="center"/>
      <protection locked="0"/>
    </xf>
    <xf numFmtId="168" fontId="2" fillId="5" borderId="2" xfId="0" applyNumberFormat="1" applyFont="1" applyFill="1" applyBorder="1" applyAlignment="1" applyProtection="1">
      <alignment horizontal="center" vertical="center"/>
      <protection locked="0"/>
    </xf>
    <xf numFmtId="3" fontId="45" fillId="5" borderId="20" xfId="0" applyNumberFormat="1" applyFont="1" applyFill="1" applyBorder="1" applyAlignment="1" applyProtection="1">
      <alignment horizontal="center" vertical="center"/>
      <protection locked="0"/>
    </xf>
    <xf numFmtId="2" fontId="45" fillId="5" borderId="2" xfId="0" applyNumberFormat="1" applyFont="1" applyFill="1" applyBorder="1" applyAlignment="1" applyProtection="1">
      <alignment horizontal="center" vertical="center"/>
      <protection locked="0"/>
    </xf>
    <xf numFmtId="168" fontId="45" fillId="20" borderId="2" xfId="0" applyNumberFormat="1" applyFont="1" applyFill="1" applyBorder="1" applyAlignment="1" applyProtection="1">
      <alignment horizontal="center" vertical="center"/>
      <protection locked="0"/>
    </xf>
    <xf numFmtId="168" fontId="115" fillId="20" borderId="2" xfId="0" applyNumberFormat="1" applyFont="1" applyFill="1" applyBorder="1" applyAlignment="1" applyProtection="1">
      <alignment horizontal="center" vertical="center"/>
      <protection locked="0"/>
    </xf>
    <xf numFmtId="168" fontId="101" fillId="20" borderId="2" xfId="0" applyNumberFormat="1" applyFont="1" applyFill="1" applyBorder="1" applyAlignment="1" applyProtection="1">
      <alignment horizontal="center" vertical="center"/>
      <protection locked="0"/>
    </xf>
    <xf numFmtId="3" fontId="45" fillId="7" borderId="20" xfId="0" applyNumberFormat="1" applyFont="1" applyFill="1" applyBorder="1" applyAlignment="1" applyProtection="1">
      <alignment horizontal="center" vertical="center"/>
      <protection locked="0"/>
    </xf>
    <xf numFmtId="168" fontId="2" fillId="21" borderId="2" xfId="0" applyNumberFormat="1" applyFont="1" applyFill="1" applyBorder="1" applyAlignment="1" applyProtection="1">
      <alignment horizontal="center" vertical="center"/>
      <protection locked="0"/>
    </xf>
    <xf numFmtId="168" fontId="45" fillId="21" borderId="2" xfId="0" applyNumberFormat="1" applyFont="1" applyFill="1" applyBorder="1" applyAlignment="1" applyProtection="1">
      <alignment horizontal="center" vertical="center"/>
      <protection locked="0"/>
    </xf>
    <xf numFmtId="168" fontId="45" fillId="21" borderId="2" xfId="1" applyNumberFormat="1" applyFont="1" applyFill="1" applyBorder="1" applyAlignment="1" applyProtection="1">
      <alignment horizontal="center" vertical="center"/>
      <protection locked="0"/>
    </xf>
    <xf numFmtId="168" fontId="2" fillId="7" borderId="2" xfId="0" applyNumberFormat="1" applyFont="1" applyFill="1" applyBorder="1" applyAlignment="1" applyProtection="1">
      <alignment horizontal="center" vertical="center"/>
      <protection locked="0"/>
    </xf>
    <xf numFmtId="168" fontId="45" fillId="7" borderId="2" xfId="0" applyNumberFormat="1" applyFont="1" applyFill="1" applyBorder="1" applyAlignment="1" applyProtection="1">
      <alignment horizontal="center" vertical="center"/>
      <protection locked="0"/>
    </xf>
    <xf numFmtId="3" fontId="45" fillId="12" borderId="2" xfId="0" applyNumberFormat="1" applyFont="1" applyFill="1" applyBorder="1" applyAlignment="1" applyProtection="1">
      <alignment horizontal="center" vertical="center"/>
      <protection locked="0"/>
    </xf>
    <xf numFmtId="1" fontId="45" fillId="12" borderId="2" xfId="0" applyNumberFormat="1" applyFont="1" applyFill="1" applyBorder="1" applyAlignment="1" applyProtection="1">
      <alignment horizontal="center" vertical="center"/>
      <protection locked="0"/>
    </xf>
    <xf numFmtId="3" fontId="45" fillId="12" borderId="20" xfId="0" applyNumberFormat="1" applyFont="1" applyFill="1" applyBorder="1" applyAlignment="1" applyProtection="1">
      <alignment horizontal="center" vertical="center"/>
      <protection locked="0"/>
    </xf>
    <xf numFmtId="3" fontId="45" fillId="7" borderId="2" xfId="0" applyNumberFormat="1" applyFont="1" applyFill="1" applyBorder="1" applyAlignment="1" applyProtection="1">
      <alignment horizontal="center" vertical="center"/>
      <protection locked="0"/>
    </xf>
    <xf numFmtId="3" fontId="101" fillId="7" borderId="2" xfId="0" applyNumberFormat="1" applyFont="1" applyFill="1" applyBorder="1" applyAlignment="1" applyProtection="1">
      <alignment horizontal="center" vertical="center"/>
      <protection locked="0"/>
    </xf>
    <xf numFmtId="1" fontId="2" fillId="7" borderId="2" xfId="0" applyNumberFormat="1" applyFont="1" applyFill="1" applyBorder="1" applyAlignment="1" applyProtection="1">
      <alignment horizontal="center" vertical="center"/>
      <protection locked="0"/>
    </xf>
    <xf numFmtId="175" fontId="45" fillId="12" borderId="2" xfId="0" applyNumberFormat="1" applyFont="1" applyFill="1" applyBorder="1" applyAlignment="1" applyProtection="1">
      <alignment horizontal="center" vertical="center"/>
      <protection locked="0"/>
    </xf>
    <xf numFmtId="168" fontId="2" fillId="12" borderId="2" xfId="0" applyNumberFormat="1" applyFont="1" applyFill="1" applyBorder="1" applyAlignment="1" applyProtection="1">
      <alignment horizontal="center" vertical="center"/>
      <protection locked="0"/>
    </xf>
    <xf numFmtId="168" fontId="45" fillId="12" borderId="2" xfId="0" applyNumberFormat="1" applyFont="1" applyFill="1" applyBorder="1" applyAlignment="1" applyProtection="1">
      <alignment horizontal="center" vertical="center"/>
      <protection locked="0"/>
    </xf>
    <xf numFmtId="4" fontId="14" fillId="9" borderId="102" xfId="1" applyNumberFormat="1" applyFont="1" applyFill="1" applyBorder="1" applyAlignment="1" applyProtection="1">
      <protection locked="0"/>
    </xf>
    <xf numFmtId="4" fontId="14" fillId="9" borderId="103" xfId="1" applyNumberFormat="1" applyFont="1" applyFill="1" applyBorder="1" applyProtection="1">
      <protection locked="0"/>
    </xf>
    <xf numFmtId="4" fontId="14" fillId="9" borderId="102" xfId="1" applyNumberFormat="1" applyFont="1" applyFill="1" applyBorder="1" applyProtection="1">
      <protection locked="0"/>
    </xf>
    <xf numFmtId="2" fontId="0" fillId="0" borderId="0" xfId="0" applyNumberFormat="1"/>
    <xf numFmtId="164" fontId="10" fillId="13" borderId="0" xfId="4" applyFont="1" applyFill="1" applyBorder="1" applyAlignment="1">
      <alignment horizontal="center" vertical="center"/>
    </xf>
    <xf numFmtId="164" fontId="26" fillId="0" borderId="0" xfId="0" applyNumberFormat="1" applyFont="1" applyAlignment="1">
      <alignment horizontal="center"/>
    </xf>
    <xf numFmtId="170" fontId="0" fillId="0" borderId="0" xfId="0" applyAlignment="1"/>
    <xf numFmtId="170" fontId="99" fillId="0" borderId="0" xfId="0" applyFont="1" applyAlignment="1">
      <alignment horizontal="center"/>
    </xf>
    <xf numFmtId="170" fontId="100" fillId="0" borderId="0" xfId="0" applyFont="1" applyAlignment="1">
      <alignment horizontal="center"/>
    </xf>
    <xf numFmtId="170" fontId="0" fillId="0" borderId="0" xfId="0" applyBorder="1" applyAlignment="1">
      <alignment horizontal="center" wrapText="1"/>
    </xf>
    <xf numFmtId="170" fontId="0" fillId="0" borderId="110" xfId="0" applyBorder="1" applyAlignment="1">
      <alignment horizontal="center" wrapText="1"/>
    </xf>
    <xf numFmtId="170" fontId="44" fillId="0" borderId="28" xfId="0" applyFont="1" applyBorder="1" applyAlignment="1">
      <alignment horizontal="left" vertical="center" wrapText="1"/>
    </xf>
    <xf numFmtId="170" fontId="44" fillId="0" borderId="29" xfId="0" applyFont="1" applyBorder="1" applyAlignment="1">
      <alignment horizontal="left" vertical="center" wrapText="1"/>
    </xf>
    <xf numFmtId="170" fontId="44" fillId="0" borderId="30" xfId="0" applyFont="1" applyBorder="1" applyAlignment="1">
      <alignment horizontal="left" vertical="center" wrapText="1"/>
    </xf>
    <xf numFmtId="164" fontId="60" fillId="0" borderId="28" xfId="0" applyNumberFormat="1" applyFont="1" applyBorder="1" applyAlignment="1">
      <alignment horizontal="left" vertical="center" wrapText="1"/>
    </xf>
    <xf numFmtId="170" fontId="60" fillId="0" borderId="29" xfId="0" applyFont="1" applyBorder="1" applyAlignment="1">
      <alignment horizontal="left" vertical="center" wrapText="1"/>
    </xf>
    <xf numFmtId="170" fontId="60" fillId="0" borderId="30" xfId="0" applyFont="1" applyBorder="1" applyAlignment="1">
      <alignment horizontal="left" vertical="center" wrapText="1"/>
    </xf>
    <xf numFmtId="170" fontId="60" fillId="0" borderId="29" xfId="0" applyFont="1" applyBorder="1" applyAlignment="1">
      <alignment horizontal="left" vertical="center"/>
    </xf>
    <xf numFmtId="170" fontId="60" fillId="0" borderId="30" xfId="0" applyFont="1" applyBorder="1" applyAlignment="1">
      <alignment horizontal="left" vertical="center"/>
    </xf>
    <xf numFmtId="170" fontId="61" fillId="0" borderId="28" xfId="0" applyFont="1" applyBorder="1" applyAlignment="1">
      <alignment horizontal="justify" vertical="center" wrapText="1"/>
    </xf>
    <xf numFmtId="170" fontId="61" fillId="0" borderId="29" xfId="0" applyFont="1" applyBorder="1" applyAlignment="1">
      <alignment horizontal="justify" vertical="center" wrapText="1"/>
    </xf>
    <xf numFmtId="170" fontId="61" fillId="0" borderId="30" xfId="0" applyFont="1" applyBorder="1" applyAlignment="1">
      <alignment horizontal="justify" vertical="center" wrapText="1"/>
    </xf>
    <xf numFmtId="170" fontId="0" fillId="0" borderId="110" xfId="0" applyBorder="1" applyAlignment="1">
      <alignment horizontal="center"/>
    </xf>
    <xf numFmtId="170" fontId="0" fillId="0" borderId="0" xfId="0" applyBorder="1" applyAlignment="1">
      <alignment horizontal="center"/>
    </xf>
    <xf numFmtId="164" fontId="10" fillId="14" borderId="0" xfId="12" applyFont="1" applyFill="1" applyAlignment="1" applyProtection="1">
      <alignment horizontal="center" vertical="center"/>
    </xf>
    <xf numFmtId="170" fontId="58" fillId="0" borderId="0" xfId="0" applyFont="1" applyAlignment="1">
      <alignment horizontal="center"/>
    </xf>
    <xf numFmtId="170" fontId="59" fillId="9" borderId="28" xfId="0" applyFont="1" applyFill="1" applyBorder="1" applyAlignment="1">
      <alignment horizontal="center"/>
    </xf>
    <xf numFmtId="170" fontId="59" fillId="9" borderId="29" xfId="0" applyFont="1" applyFill="1" applyBorder="1" applyAlignment="1">
      <alignment horizontal="center"/>
    </xf>
    <xf numFmtId="170" fontId="59" fillId="9" borderId="30" xfId="0" applyFont="1" applyFill="1" applyBorder="1" applyAlignment="1">
      <alignment horizontal="center"/>
    </xf>
    <xf numFmtId="164" fontId="60" fillId="0" borderId="28" xfId="0" applyNumberFormat="1" applyFont="1" applyBorder="1" applyAlignment="1">
      <alignment horizontal="justify" vertical="center" wrapText="1"/>
    </xf>
    <xf numFmtId="170" fontId="60" fillId="0" borderId="29" xfId="0" applyFont="1" applyBorder="1" applyAlignment="1">
      <alignment horizontal="justify" vertical="center"/>
    </xf>
    <xf numFmtId="170" fontId="60" fillId="0" borderId="30" xfId="0" applyFont="1" applyBorder="1" applyAlignment="1">
      <alignment horizontal="justify" vertical="center"/>
    </xf>
    <xf numFmtId="9" fontId="61" fillId="0" borderId="28" xfId="19" applyFont="1" applyBorder="1" applyAlignment="1">
      <alignment horizontal="justify" vertical="center" wrapText="1"/>
    </xf>
    <xf numFmtId="9" fontId="61" fillId="0" borderId="29" xfId="19" applyFont="1" applyBorder="1" applyAlignment="1">
      <alignment horizontal="justify" vertical="center" wrapText="1"/>
    </xf>
    <xf numFmtId="9" fontId="61" fillId="0" borderId="30" xfId="19" applyFont="1" applyBorder="1" applyAlignment="1">
      <alignment horizontal="justify" vertical="center" wrapText="1"/>
    </xf>
    <xf numFmtId="170" fontId="59" fillId="6" borderId="28" xfId="0" applyFont="1" applyFill="1" applyBorder="1" applyAlignment="1">
      <alignment horizontal="center"/>
    </xf>
    <xf numFmtId="170" fontId="59" fillId="6" borderId="29" xfId="0" applyFont="1" applyFill="1" applyBorder="1" applyAlignment="1">
      <alignment horizontal="center"/>
    </xf>
    <xf numFmtId="170" fontId="59" fillId="6" borderId="30" xfId="0" applyFont="1" applyFill="1" applyBorder="1" applyAlignment="1">
      <alignment horizontal="center"/>
    </xf>
    <xf numFmtId="170" fontId="60" fillId="0" borderId="29" xfId="0" applyFont="1" applyBorder="1" applyAlignment="1">
      <alignment horizontal="justify" vertical="center" wrapText="1"/>
    </xf>
    <xf numFmtId="170" fontId="60" fillId="0" borderId="30" xfId="0" applyFont="1" applyBorder="1" applyAlignment="1">
      <alignment horizontal="justify" vertical="center" wrapText="1"/>
    </xf>
    <xf numFmtId="170" fontId="44" fillId="0" borderId="111" xfId="0" applyFont="1" applyBorder="1" applyAlignment="1">
      <alignment horizontal="justify" wrapText="1"/>
    </xf>
    <xf numFmtId="170" fontId="44" fillId="0" borderId="110" xfId="0" applyFont="1" applyBorder="1" applyAlignment="1">
      <alignment horizontal="justify" wrapText="1"/>
    </xf>
    <xf numFmtId="170" fontId="44" fillId="0" borderId="112" xfId="0" applyFont="1" applyBorder="1" applyAlignment="1">
      <alignment horizontal="justify" wrapText="1"/>
    </xf>
    <xf numFmtId="170" fontId="44" fillId="0" borderId="28" xfId="0" applyFont="1" applyBorder="1" applyAlignment="1">
      <alignment horizontal="justify" vertical="center" wrapText="1"/>
    </xf>
    <xf numFmtId="170" fontId="92" fillId="0" borderId="113" xfId="0" applyFont="1" applyBorder="1" applyAlignment="1">
      <alignment horizontal="justify" vertical="center" wrapText="1"/>
    </xf>
    <xf numFmtId="170" fontId="92" fillId="0" borderId="74" xfId="0" applyFont="1" applyBorder="1" applyAlignment="1">
      <alignment horizontal="justify" vertical="center" wrapText="1"/>
    </xf>
    <xf numFmtId="170" fontId="92" fillId="0" borderId="76" xfId="0" applyFont="1" applyBorder="1" applyAlignment="1">
      <alignment horizontal="justify" vertical="center" wrapText="1"/>
    </xf>
    <xf numFmtId="170" fontId="92" fillId="0" borderId="28" xfId="0" applyFont="1" applyBorder="1" applyAlignment="1">
      <alignment horizontal="left" vertical="center" wrapText="1"/>
    </xf>
    <xf numFmtId="170" fontId="89" fillId="0" borderId="29" xfId="0" applyFont="1" applyBorder="1" applyAlignment="1">
      <alignment horizontal="left" vertical="center" wrapText="1"/>
    </xf>
    <xf numFmtId="170" fontId="89" fillId="0" borderId="30" xfId="0" applyFont="1" applyBorder="1" applyAlignment="1">
      <alignment horizontal="left" vertical="center" wrapText="1"/>
    </xf>
    <xf numFmtId="170" fontId="92" fillId="0" borderId="28" xfId="0" applyFont="1" applyBorder="1" applyAlignment="1">
      <alignment horizontal="justify" vertical="center" wrapText="1"/>
    </xf>
    <xf numFmtId="170" fontId="92" fillId="0" borderId="29" xfId="0" applyFont="1" applyBorder="1" applyAlignment="1">
      <alignment horizontal="justify" vertical="center" wrapText="1"/>
    </xf>
    <xf numFmtId="170" fontId="92" fillId="0" borderId="30" xfId="0" applyFont="1" applyBorder="1" applyAlignment="1">
      <alignment horizontal="justify" vertical="center" wrapText="1"/>
    </xf>
    <xf numFmtId="164" fontId="60" fillId="0" borderId="111" xfId="0" applyNumberFormat="1" applyFont="1" applyBorder="1" applyAlignment="1">
      <alignment horizontal="left" vertical="center" wrapText="1"/>
    </xf>
    <xf numFmtId="170" fontId="60" fillId="0" borderId="110" xfId="0" applyFont="1" applyBorder="1" applyAlignment="1">
      <alignment horizontal="left" vertical="center" wrapText="1"/>
    </xf>
    <xf numFmtId="170" fontId="60" fillId="0" borderId="112" xfId="0" applyFont="1" applyBorder="1" applyAlignment="1">
      <alignment horizontal="left" vertical="center" wrapText="1"/>
    </xf>
    <xf numFmtId="170" fontId="60" fillId="0" borderId="113" xfId="0" applyFont="1" applyBorder="1" applyAlignment="1">
      <alignment horizontal="left" vertical="center" wrapText="1"/>
    </xf>
    <xf numFmtId="170" fontId="60" fillId="0" borderId="74" xfId="0" applyFont="1" applyBorder="1" applyAlignment="1">
      <alignment horizontal="left" vertical="center" wrapText="1"/>
    </xf>
    <xf numFmtId="170" fontId="60" fillId="0" borderId="76" xfId="0" applyFont="1" applyBorder="1" applyAlignment="1">
      <alignment horizontal="left" vertical="center" wrapText="1"/>
    </xf>
    <xf numFmtId="170" fontId="61" fillId="0" borderId="113" xfId="0" applyFont="1" applyBorder="1" applyAlignment="1">
      <alignment horizontal="justify" vertical="center" wrapText="1"/>
    </xf>
    <xf numFmtId="170" fontId="61" fillId="0" borderId="74" xfId="0" applyFont="1" applyBorder="1" applyAlignment="1">
      <alignment horizontal="justify" vertical="center" wrapText="1"/>
    </xf>
    <xf numFmtId="170" fontId="61" fillId="0" borderId="76" xfId="0" applyFont="1" applyBorder="1" applyAlignment="1">
      <alignment horizontal="justify" vertical="center" wrapText="1"/>
    </xf>
    <xf numFmtId="170" fontId="44" fillId="0" borderId="111" xfId="0" applyFont="1" applyBorder="1" applyAlignment="1">
      <alignment horizontal="left" vertical="center" wrapText="1"/>
    </xf>
    <xf numFmtId="170" fontId="44" fillId="0" borderId="110" xfId="0" applyFont="1" applyBorder="1" applyAlignment="1">
      <alignment horizontal="left" vertical="center" wrapText="1"/>
    </xf>
    <xf numFmtId="170" fontId="44" fillId="0" borderId="112" xfId="0" applyFont="1" applyBorder="1" applyAlignment="1">
      <alignment horizontal="left" vertical="center" wrapText="1"/>
    </xf>
    <xf numFmtId="170" fontId="44" fillId="0" borderId="113" xfId="0" applyFont="1" applyBorder="1" applyAlignment="1">
      <alignment horizontal="left" vertical="center" wrapText="1"/>
    </xf>
    <xf numFmtId="170" fontId="44" fillId="0" borderId="74" xfId="0" applyFont="1" applyBorder="1" applyAlignment="1">
      <alignment horizontal="left" vertical="center" wrapText="1"/>
    </xf>
    <xf numFmtId="170" fontId="44" fillId="0" borderId="76" xfId="0" applyFont="1" applyBorder="1" applyAlignment="1">
      <alignment horizontal="left" vertical="center" wrapText="1"/>
    </xf>
    <xf numFmtId="170" fontId="44" fillId="0" borderId="29" xfId="0" applyFont="1" applyBorder="1" applyAlignment="1">
      <alignment horizontal="justify" vertical="center" wrapText="1"/>
    </xf>
    <xf numFmtId="170" fontId="44" fillId="0" borderId="30" xfId="0" applyFont="1" applyBorder="1" applyAlignment="1">
      <alignment horizontal="justify" vertical="center" wrapText="1"/>
    </xf>
    <xf numFmtId="170" fontId="0" fillId="0" borderId="28" xfId="0" applyBorder="1" applyAlignment="1">
      <alignment horizontal="center" vertical="center" wrapText="1"/>
    </xf>
    <xf numFmtId="170" fontId="0" fillId="0" borderId="29" xfId="0" applyBorder="1" applyAlignment="1">
      <alignment horizontal="center" vertical="center" wrapText="1"/>
    </xf>
    <xf numFmtId="170" fontId="0" fillId="0" borderId="30" xfId="0" applyBorder="1" applyAlignment="1">
      <alignment horizontal="center" vertical="center" wrapText="1"/>
    </xf>
    <xf numFmtId="170" fontId="66" fillId="5" borderId="28" xfId="0" applyFont="1" applyFill="1" applyBorder="1" applyAlignment="1">
      <alignment horizontal="center" vertical="center" wrapText="1"/>
    </xf>
    <xf numFmtId="170" fontId="66" fillId="5" borderId="29" xfId="0" applyFont="1" applyFill="1" applyBorder="1" applyAlignment="1">
      <alignment horizontal="center" vertical="center"/>
    </xf>
    <xf numFmtId="170" fontId="66" fillId="5" borderId="30" xfId="0" applyFont="1" applyFill="1" applyBorder="1" applyAlignment="1">
      <alignment horizontal="center" vertical="center"/>
    </xf>
    <xf numFmtId="170" fontId="65" fillId="5" borderId="28" xfId="0" applyFont="1" applyFill="1" applyBorder="1" applyAlignment="1">
      <alignment horizontal="center" vertical="center"/>
    </xf>
    <xf numFmtId="170" fontId="65" fillId="5" borderId="29" xfId="0" applyFont="1" applyFill="1" applyBorder="1" applyAlignment="1">
      <alignment horizontal="center" vertical="center"/>
    </xf>
    <xf numFmtId="170" fontId="65" fillId="5" borderId="30" xfId="0" applyFont="1" applyFill="1" applyBorder="1" applyAlignment="1">
      <alignment horizontal="center" vertical="center"/>
    </xf>
    <xf numFmtId="170" fontId="104" fillId="0" borderId="28" xfId="0" applyFont="1" applyBorder="1" applyAlignment="1" applyProtection="1">
      <alignment horizontal="justify" vertical="center" wrapText="1"/>
      <protection locked="0"/>
    </xf>
    <xf numFmtId="170" fontId="104" fillId="0" borderId="29" xfId="0" applyFont="1" applyBorder="1" applyAlignment="1" applyProtection="1">
      <alignment horizontal="justify" vertical="center" wrapText="1"/>
      <protection locked="0"/>
    </xf>
    <xf numFmtId="170" fontId="104" fillId="0" borderId="30" xfId="0" applyFont="1" applyBorder="1" applyAlignment="1" applyProtection="1">
      <alignment horizontal="justify" vertical="center" wrapText="1"/>
      <protection locked="0"/>
    </xf>
    <xf numFmtId="170" fontId="92" fillId="18" borderId="28" xfId="0" applyFont="1" applyFill="1" applyBorder="1" applyAlignment="1" applyProtection="1">
      <alignment horizontal="justify" vertical="center" wrapText="1"/>
      <protection locked="0"/>
    </xf>
    <xf numFmtId="170" fontId="92" fillId="18" borderId="29" xfId="0" applyFont="1" applyFill="1" applyBorder="1" applyAlignment="1" applyProtection="1">
      <alignment horizontal="justify" vertical="center" wrapText="1"/>
      <protection locked="0"/>
    </xf>
    <xf numFmtId="170" fontId="92" fillId="18" borderId="30" xfId="0" applyFont="1" applyFill="1" applyBorder="1" applyAlignment="1" applyProtection="1">
      <alignment horizontal="justify" vertical="center" wrapText="1"/>
      <protection locked="0"/>
    </xf>
    <xf numFmtId="170" fontId="17" fillId="0" borderId="28" xfId="0" applyFont="1" applyBorder="1" applyAlignment="1">
      <alignment horizontal="center" vertical="center" wrapText="1"/>
    </xf>
    <xf numFmtId="170" fontId="17" fillId="0" borderId="29" xfId="0" applyFont="1" applyBorder="1" applyAlignment="1">
      <alignment horizontal="center" vertical="center" wrapText="1"/>
    </xf>
    <xf numFmtId="170" fontId="17" fillId="0" borderId="30" xfId="0" applyFont="1" applyBorder="1" applyAlignment="1">
      <alignment horizontal="center" vertical="center" wrapText="1"/>
    </xf>
    <xf numFmtId="170" fontId="65" fillId="5" borderId="28" xfId="0" applyFont="1" applyFill="1" applyBorder="1" applyAlignment="1">
      <alignment horizontal="center" wrapText="1"/>
    </xf>
    <xf numFmtId="170" fontId="65" fillId="5" borderId="29" xfId="0" applyFont="1" applyFill="1" applyBorder="1" applyAlignment="1">
      <alignment horizontal="center" wrapText="1"/>
    </xf>
    <xf numFmtId="170" fontId="65" fillId="5" borderId="30" xfId="0" applyFont="1" applyFill="1" applyBorder="1" applyAlignment="1">
      <alignment horizontal="center" wrapText="1"/>
    </xf>
    <xf numFmtId="170" fontId="65" fillId="5" borderId="28" xfId="0" applyFont="1" applyFill="1" applyBorder="1" applyAlignment="1">
      <alignment horizontal="center"/>
    </xf>
    <xf numFmtId="170" fontId="65" fillId="5" borderId="29" xfId="0" applyFont="1" applyFill="1" applyBorder="1" applyAlignment="1">
      <alignment horizontal="center"/>
    </xf>
    <xf numFmtId="170" fontId="65" fillId="5" borderId="30" xfId="0" applyFont="1" applyFill="1" applyBorder="1" applyAlignment="1">
      <alignment horizontal="center"/>
    </xf>
    <xf numFmtId="170" fontId="104" fillId="5" borderId="28" xfId="0" applyFont="1" applyFill="1" applyBorder="1" applyAlignment="1">
      <alignment horizontal="justify" vertical="center" wrapText="1"/>
    </xf>
    <xf numFmtId="170" fontId="104" fillId="5" borderId="29" xfId="0" applyFont="1" applyFill="1" applyBorder="1" applyAlignment="1">
      <alignment horizontal="justify" vertical="center" wrapText="1"/>
    </xf>
    <xf numFmtId="170" fontId="104" fillId="5" borderId="30" xfId="0" applyFont="1" applyFill="1" applyBorder="1" applyAlignment="1">
      <alignment horizontal="justify" vertical="center" wrapText="1"/>
    </xf>
    <xf numFmtId="170" fontId="92" fillId="0" borderId="28" xfId="0" applyFont="1" applyFill="1" applyBorder="1" applyAlignment="1" applyProtection="1">
      <alignment horizontal="justify" vertical="center" wrapText="1"/>
      <protection locked="0"/>
    </xf>
    <xf numFmtId="170" fontId="104" fillId="0" borderId="29" xfId="0" applyFont="1" applyFill="1" applyBorder="1" applyAlignment="1" applyProtection="1">
      <alignment horizontal="justify" vertical="center" wrapText="1"/>
      <protection locked="0"/>
    </xf>
    <xf numFmtId="170" fontId="104" fillId="0" borderId="30" xfId="0" applyFont="1" applyFill="1" applyBorder="1" applyAlignment="1" applyProtection="1">
      <alignment horizontal="justify" vertical="center" wrapText="1"/>
      <protection locked="0"/>
    </xf>
    <xf numFmtId="170" fontId="104" fillId="18" borderId="29" xfId="0" applyFont="1" applyFill="1" applyBorder="1" applyAlignment="1" applyProtection="1">
      <alignment horizontal="justify" vertical="center" wrapText="1"/>
      <protection locked="0"/>
    </xf>
    <xf numFmtId="170" fontId="104" fillId="18" borderId="30" xfId="0" applyFont="1" applyFill="1" applyBorder="1" applyAlignment="1" applyProtection="1">
      <alignment horizontal="justify" vertical="center" wrapText="1"/>
      <protection locked="0"/>
    </xf>
    <xf numFmtId="170" fontId="127" fillId="18" borderId="28" xfId="0" applyFont="1" applyFill="1" applyBorder="1" applyAlignment="1" applyProtection="1">
      <alignment horizontal="justify" vertical="center" wrapText="1"/>
      <protection locked="0"/>
    </xf>
    <xf numFmtId="170" fontId="127" fillId="18" borderId="29" xfId="0" applyFont="1" applyFill="1" applyBorder="1" applyAlignment="1" applyProtection="1">
      <alignment horizontal="justify" vertical="center" wrapText="1"/>
      <protection locked="0"/>
    </xf>
    <xf numFmtId="170" fontId="127" fillId="18" borderId="30" xfId="0" applyFont="1" applyFill="1" applyBorder="1" applyAlignment="1" applyProtection="1">
      <alignment horizontal="justify" vertical="center" wrapText="1"/>
      <protection locked="0"/>
    </xf>
    <xf numFmtId="170" fontId="92" fillId="18" borderId="28" xfId="0" applyFont="1" applyFill="1" applyBorder="1" applyAlignment="1" applyProtection="1">
      <alignment horizontal="justify" vertical="top" wrapText="1"/>
      <protection locked="0"/>
    </xf>
    <xf numFmtId="170" fontId="92" fillId="18" borderId="29" xfId="0" applyFont="1" applyFill="1" applyBorder="1" applyAlignment="1" applyProtection="1">
      <alignment horizontal="justify" vertical="top" wrapText="1"/>
      <protection locked="0"/>
    </xf>
    <xf numFmtId="170" fontId="92" fillId="18" borderId="30" xfId="0" applyFont="1" applyFill="1" applyBorder="1" applyAlignment="1" applyProtection="1">
      <alignment horizontal="justify" vertical="top" wrapText="1"/>
      <protection locked="0"/>
    </xf>
    <xf numFmtId="170" fontId="45" fillId="5" borderId="30" xfId="0" applyNumberFormat="1" applyFont="1" applyFill="1" applyBorder="1" applyAlignment="1" applyProtection="1">
      <alignment horizontal="center" vertical="center" wrapText="1"/>
      <protection locked="0"/>
    </xf>
    <xf numFmtId="170" fontId="45" fillId="0" borderId="117" xfId="0" applyFont="1" applyFill="1" applyBorder="1" applyAlignment="1" applyProtection="1">
      <alignment horizontal="center" vertical="center" wrapText="1"/>
    </xf>
    <xf numFmtId="170" fontId="45" fillId="0" borderId="228" xfId="0" applyFont="1" applyFill="1" applyBorder="1" applyAlignment="1" applyProtection="1">
      <alignment horizontal="center" vertical="center" wrapText="1"/>
    </xf>
    <xf numFmtId="0" fontId="45" fillId="0" borderId="88" xfId="0" applyNumberFormat="1" applyFont="1" applyFill="1" applyBorder="1" applyAlignment="1" applyProtection="1">
      <alignment horizontal="center" vertical="center" wrapText="1"/>
    </xf>
    <xf numFmtId="0" fontId="45" fillId="0" borderId="229" xfId="0" applyNumberFormat="1" applyFont="1" applyFill="1" applyBorder="1" applyAlignment="1" applyProtection="1">
      <alignment horizontal="center" vertical="center" wrapText="1"/>
    </xf>
    <xf numFmtId="49" fontId="45" fillId="7" borderId="117" xfId="0" applyNumberFormat="1" applyFont="1" applyFill="1" applyBorder="1" applyAlignment="1" applyProtection="1">
      <alignment horizontal="center" vertical="center" wrapText="1"/>
      <protection locked="0"/>
    </xf>
    <xf numFmtId="49" fontId="45" fillId="7" borderId="118" xfId="0" applyNumberFormat="1" applyFont="1" applyFill="1" applyBorder="1" applyAlignment="1" applyProtection="1">
      <alignment horizontal="center" vertical="center" wrapText="1"/>
      <protection locked="0"/>
    </xf>
    <xf numFmtId="0" fontId="45" fillId="7" borderId="88" xfId="0" applyNumberFormat="1" applyFont="1" applyFill="1" applyBorder="1" applyAlignment="1" applyProtection="1">
      <alignment horizontal="center" vertical="center" wrapText="1"/>
      <protection locked="0"/>
    </xf>
    <xf numFmtId="0" fontId="45" fillId="7" borderId="75" xfId="0" applyNumberFormat="1" applyFont="1" applyFill="1" applyBorder="1" applyAlignment="1" applyProtection="1">
      <alignment horizontal="center" vertical="center" wrapText="1"/>
      <protection locked="0"/>
    </xf>
    <xf numFmtId="170" fontId="45" fillId="5" borderId="122" xfId="0" applyNumberFormat="1" applyFont="1" applyFill="1" applyBorder="1" applyAlignment="1" applyProtection="1">
      <alignment horizontal="center" vertical="center" wrapText="1"/>
      <protection locked="0"/>
    </xf>
    <xf numFmtId="170" fontId="45" fillId="10" borderId="30" xfId="0" applyFont="1" applyFill="1" applyBorder="1" applyAlignment="1" applyProtection="1">
      <alignment horizontal="center" vertical="center" wrapText="1"/>
    </xf>
    <xf numFmtId="170" fontId="45" fillId="0" borderId="30" xfId="0" applyFont="1" applyFill="1" applyBorder="1" applyAlignment="1" applyProtection="1">
      <alignment horizontal="center" vertical="center" wrapText="1"/>
    </xf>
    <xf numFmtId="49" fontId="45" fillId="7" borderId="225" xfId="0" applyNumberFormat="1" applyFont="1" applyFill="1" applyBorder="1" applyAlignment="1" applyProtection="1">
      <alignment horizontal="center" vertical="center" wrapText="1"/>
      <protection locked="0"/>
    </xf>
    <xf numFmtId="49" fontId="45" fillId="7" borderId="227" xfId="0" applyNumberFormat="1" applyFont="1" applyFill="1" applyBorder="1" applyAlignment="1" applyProtection="1">
      <alignment horizontal="center" vertical="center" wrapText="1"/>
      <protection locked="0"/>
    </xf>
    <xf numFmtId="0" fontId="45" fillId="0" borderId="122" xfId="0" applyNumberFormat="1" applyFont="1" applyFill="1" applyBorder="1" applyAlignment="1" applyProtection="1">
      <alignment horizontal="center" vertical="center" wrapText="1"/>
    </xf>
    <xf numFmtId="170" fontId="45" fillId="7" borderId="224" xfId="0" applyNumberFormat="1" applyFont="1" applyFill="1" applyBorder="1" applyAlignment="1" applyProtection="1">
      <alignment horizontal="center" vertical="center" wrapText="1"/>
      <protection locked="0"/>
    </xf>
    <xf numFmtId="170" fontId="45" fillId="7" borderId="226" xfId="0" applyNumberFormat="1" applyFont="1" applyFill="1" applyBorder="1" applyAlignment="1" applyProtection="1">
      <alignment horizontal="center" vertical="center" wrapText="1"/>
      <protection locked="0"/>
    </xf>
    <xf numFmtId="49" fontId="45" fillId="5" borderId="135" xfId="0" applyNumberFormat="1" applyFont="1" applyFill="1" applyBorder="1" applyAlignment="1" applyProtection="1">
      <alignment horizontal="justify" vertical="center" wrapText="1"/>
      <protection locked="0"/>
    </xf>
    <xf numFmtId="170" fontId="107" fillId="0" borderId="110" xfId="0" applyFont="1" applyBorder="1" applyAlignment="1">
      <alignment horizontal="justify" vertical="center" wrapText="1"/>
    </xf>
    <xf numFmtId="170" fontId="107" fillId="0" borderId="136" xfId="0" applyFont="1" applyBorder="1" applyAlignment="1">
      <alignment horizontal="justify" vertical="center" wrapText="1"/>
    </xf>
    <xf numFmtId="170" fontId="107" fillId="0" borderId="73" xfId="0" applyFont="1" applyBorder="1" applyAlignment="1">
      <alignment horizontal="justify" vertical="center" wrapText="1"/>
    </xf>
    <xf numFmtId="170" fontId="107" fillId="0" borderId="74" xfId="0" applyFont="1" applyBorder="1" applyAlignment="1">
      <alignment horizontal="justify" vertical="center" wrapText="1"/>
    </xf>
    <xf numFmtId="170" fontId="107" fillId="0" borderId="78" xfId="0" applyFont="1" applyBorder="1" applyAlignment="1">
      <alignment horizontal="justify" vertical="center" wrapText="1"/>
    </xf>
    <xf numFmtId="10" fontId="26" fillId="0" borderId="114" xfId="19" applyNumberFormat="1" applyFont="1" applyFill="1" applyBorder="1" applyAlignment="1" applyProtection="1">
      <alignment horizontal="center" vertical="center"/>
    </xf>
    <xf numFmtId="10" fontId="26" fillId="0" borderId="115" xfId="19" applyNumberFormat="1" applyFont="1" applyFill="1" applyBorder="1" applyAlignment="1" applyProtection="1">
      <alignment horizontal="center" vertical="center"/>
    </xf>
    <xf numFmtId="10" fontId="26" fillId="0" borderId="116" xfId="19" applyNumberFormat="1" applyFont="1" applyFill="1" applyBorder="1" applyAlignment="1" applyProtection="1">
      <alignment horizontal="center" vertical="center"/>
    </xf>
    <xf numFmtId="0" fontId="45" fillId="5" borderId="88" xfId="0" applyNumberFormat="1" applyFont="1" applyFill="1" applyBorder="1" applyAlignment="1" applyProtection="1">
      <alignment horizontal="center" vertical="center" wrapText="1"/>
      <protection locked="0"/>
    </xf>
    <xf numFmtId="0" fontId="45" fillId="5" borderId="75" xfId="0" applyNumberFormat="1" applyFont="1" applyFill="1" applyBorder="1" applyAlignment="1" applyProtection="1">
      <alignment horizontal="center" vertical="center" wrapText="1"/>
      <protection locked="0"/>
    </xf>
    <xf numFmtId="49" fontId="45" fillId="5" borderId="117" xfId="0" applyNumberFormat="1" applyFont="1" applyFill="1" applyBorder="1" applyAlignment="1" applyProtection="1">
      <alignment horizontal="center" vertical="center" wrapText="1"/>
      <protection locked="0"/>
    </xf>
    <xf numFmtId="49" fontId="45" fillId="5" borderId="118" xfId="0" applyNumberFormat="1" applyFont="1" applyFill="1" applyBorder="1" applyAlignment="1" applyProtection="1">
      <alignment horizontal="center" vertical="center" wrapText="1"/>
      <protection locked="0"/>
    </xf>
    <xf numFmtId="49" fontId="45" fillId="20" borderId="117" xfId="0" applyNumberFormat="1" applyFont="1" applyFill="1" applyBorder="1" applyAlignment="1" applyProtection="1">
      <alignment horizontal="center" vertical="center" wrapText="1"/>
      <protection locked="0"/>
    </xf>
    <xf numFmtId="49" fontId="45" fillId="20" borderId="118" xfId="0" applyNumberFormat="1" applyFont="1" applyFill="1" applyBorder="1" applyAlignment="1" applyProtection="1">
      <alignment horizontal="center" vertical="center" wrapText="1"/>
      <protection locked="0"/>
    </xf>
    <xf numFmtId="0" fontId="45" fillId="20" borderId="88" xfId="0" applyNumberFormat="1" applyFont="1" applyFill="1" applyBorder="1" applyAlignment="1" applyProtection="1">
      <alignment horizontal="center" vertical="center" wrapText="1"/>
      <protection locked="0"/>
    </xf>
    <xf numFmtId="0" fontId="101" fillId="20" borderId="75" xfId="0" applyNumberFormat="1" applyFont="1" applyFill="1" applyBorder="1" applyAlignment="1" applyProtection="1">
      <alignment horizontal="center" vertical="center" wrapText="1"/>
      <protection locked="0"/>
    </xf>
    <xf numFmtId="49" fontId="45" fillId="20" borderId="135" xfId="0" applyNumberFormat="1" applyFont="1" applyFill="1" applyBorder="1" applyAlignment="1" applyProtection="1">
      <alignment horizontal="justify" vertical="center" wrapText="1"/>
      <protection locked="0"/>
    </xf>
    <xf numFmtId="49" fontId="7" fillId="0" borderId="16" xfId="0" applyNumberFormat="1" applyFont="1" applyBorder="1" applyAlignment="1" applyProtection="1">
      <alignment horizontal="center"/>
    </xf>
    <xf numFmtId="49" fontId="7" fillId="0" borderId="32" xfId="0" applyNumberFormat="1" applyFont="1" applyBorder="1" applyAlignment="1" applyProtection="1">
      <alignment horizontal="center"/>
    </xf>
    <xf numFmtId="170" fontId="0" fillId="0" borderId="130" xfId="0" applyBorder="1" applyAlignment="1" applyProtection="1">
      <alignment horizontal="center"/>
    </xf>
    <xf numFmtId="170" fontId="0" fillId="0" borderId="13" xfId="0" applyBorder="1" applyAlignment="1" applyProtection="1">
      <alignment horizontal="center"/>
    </xf>
    <xf numFmtId="170" fontId="85" fillId="0" borderId="0" xfId="0" applyFont="1" applyBorder="1" applyAlignment="1" applyProtection="1">
      <alignment horizontal="right"/>
    </xf>
    <xf numFmtId="170" fontId="85" fillId="0" borderId="129" xfId="0" applyFont="1" applyBorder="1" applyAlignment="1" applyProtection="1">
      <alignment horizontal="right"/>
    </xf>
    <xf numFmtId="49" fontId="0" fillId="0" borderId="2" xfId="0" applyNumberFormat="1" applyBorder="1" applyAlignment="1" applyProtection="1">
      <alignment horizontal="center"/>
      <protection locked="0"/>
    </xf>
    <xf numFmtId="164" fontId="42" fillId="14" borderId="0" xfId="4" applyFont="1" applyFill="1" applyAlignment="1" applyProtection="1">
      <alignment horizontal="center" vertical="center"/>
    </xf>
    <xf numFmtId="170" fontId="85" fillId="0" borderId="87" xfId="0" applyFont="1" applyBorder="1" applyAlignment="1" applyProtection="1">
      <alignment horizontal="right"/>
    </xf>
    <xf numFmtId="49" fontId="45" fillId="0" borderId="135" xfId="0" applyNumberFormat="1" applyFont="1" applyFill="1" applyBorder="1" applyAlignment="1" applyProtection="1">
      <alignment horizontal="justify" vertical="center" wrapText="1"/>
      <protection locked="0"/>
    </xf>
    <xf numFmtId="49" fontId="45" fillId="0" borderId="110" xfId="0" applyNumberFormat="1" applyFont="1" applyFill="1" applyBorder="1" applyAlignment="1" applyProtection="1">
      <alignment horizontal="justify" vertical="center" wrapText="1"/>
      <protection locked="0"/>
    </xf>
    <xf numFmtId="49" fontId="45" fillId="0" borderId="136" xfId="0" applyNumberFormat="1" applyFont="1" applyFill="1" applyBorder="1" applyAlignment="1" applyProtection="1">
      <alignment horizontal="justify" vertical="center" wrapText="1"/>
      <protection locked="0"/>
    </xf>
    <xf numFmtId="49" fontId="45" fillId="0" borderId="73" xfId="0" applyNumberFormat="1" applyFont="1" applyFill="1" applyBorder="1" applyAlignment="1" applyProtection="1">
      <alignment horizontal="justify" vertical="center" wrapText="1"/>
      <protection locked="0"/>
    </xf>
    <xf numFmtId="49" fontId="45" fillId="0" borderId="74" xfId="0" applyNumberFormat="1" applyFont="1" applyFill="1" applyBorder="1" applyAlignment="1" applyProtection="1">
      <alignment horizontal="justify" vertical="center" wrapText="1"/>
      <protection locked="0"/>
    </xf>
    <xf numFmtId="49" fontId="45" fillId="0" borderId="78" xfId="0" applyNumberFormat="1" applyFont="1" applyFill="1" applyBorder="1" applyAlignment="1" applyProtection="1">
      <alignment horizontal="justify" vertical="center" wrapText="1"/>
      <protection locked="0"/>
    </xf>
    <xf numFmtId="0" fontId="45" fillId="10" borderId="122" xfId="0" applyNumberFormat="1" applyFont="1" applyFill="1" applyBorder="1" applyAlignment="1" applyProtection="1">
      <alignment horizontal="center" vertical="center" wrapText="1"/>
    </xf>
    <xf numFmtId="170" fontId="45" fillId="10" borderId="135" xfId="0" applyFont="1" applyFill="1" applyBorder="1" applyAlignment="1" applyProtection="1">
      <alignment horizontal="justify" vertical="center" wrapText="1"/>
    </xf>
    <xf numFmtId="170" fontId="45" fillId="10" borderId="110" xfId="0" applyFont="1" applyFill="1" applyBorder="1" applyAlignment="1" applyProtection="1">
      <alignment horizontal="justify" vertical="center" wrapText="1"/>
    </xf>
    <xf numFmtId="170" fontId="45" fillId="10" borderId="136" xfId="0" applyFont="1" applyFill="1" applyBorder="1" applyAlignment="1" applyProtection="1">
      <alignment horizontal="justify" vertical="center" wrapText="1"/>
    </xf>
    <xf numFmtId="170" fontId="45" fillId="10" borderId="73" xfId="0" applyFont="1" applyFill="1" applyBorder="1" applyAlignment="1" applyProtection="1">
      <alignment horizontal="justify" vertical="center" wrapText="1"/>
    </xf>
    <xf numFmtId="170" fontId="45" fillId="10" borderId="74" xfId="0" applyFont="1" applyFill="1" applyBorder="1" applyAlignment="1" applyProtection="1">
      <alignment horizontal="justify" vertical="center" wrapText="1"/>
    </xf>
    <xf numFmtId="170" fontId="45" fillId="10" borderId="78" xfId="0" applyFont="1" applyFill="1" applyBorder="1" applyAlignment="1" applyProtection="1">
      <alignment horizontal="justify" vertical="center" wrapText="1"/>
    </xf>
    <xf numFmtId="49" fontId="45" fillId="20" borderId="110" xfId="0" applyNumberFormat="1" applyFont="1" applyFill="1" applyBorder="1" applyAlignment="1" applyProtection="1">
      <alignment horizontal="justify" vertical="center" wrapText="1"/>
      <protection locked="0"/>
    </xf>
    <xf numFmtId="49" fontId="45" fillId="20" borderId="136" xfId="0" applyNumberFormat="1" applyFont="1" applyFill="1" applyBorder="1" applyAlignment="1" applyProtection="1">
      <alignment horizontal="justify" vertical="center" wrapText="1"/>
      <protection locked="0"/>
    </xf>
    <xf numFmtId="49" fontId="45" fillId="20" borderId="73" xfId="0" applyNumberFormat="1" applyFont="1" applyFill="1" applyBorder="1" applyAlignment="1" applyProtection="1">
      <alignment horizontal="justify" vertical="center" wrapText="1"/>
      <protection locked="0"/>
    </xf>
    <xf numFmtId="49" fontId="45" fillId="20" borderId="74" xfId="0" applyNumberFormat="1" applyFont="1" applyFill="1" applyBorder="1" applyAlignment="1" applyProtection="1">
      <alignment horizontal="justify" vertical="center" wrapText="1"/>
      <protection locked="0"/>
    </xf>
    <xf numFmtId="49" fontId="45" fillId="20" borderId="78" xfId="0" applyNumberFormat="1" applyFont="1" applyFill="1" applyBorder="1" applyAlignment="1" applyProtection="1">
      <alignment horizontal="justify" vertical="center" wrapText="1"/>
      <protection locked="0"/>
    </xf>
    <xf numFmtId="170" fontId="107" fillId="0" borderId="110" xfId="0" applyFont="1" applyFill="1" applyBorder="1" applyAlignment="1">
      <alignment horizontal="justify" vertical="center" wrapText="1"/>
    </xf>
    <xf numFmtId="170" fontId="107" fillId="0" borderId="136" xfId="0" applyFont="1" applyFill="1" applyBorder="1" applyAlignment="1">
      <alignment horizontal="justify" vertical="center" wrapText="1"/>
    </xf>
    <xf numFmtId="170" fontId="107" fillId="0" borderId="73" xfId="0" applyFont="1" applyFill="1" applyBorder="1" applyAlignment="1">
      <alignment horizontal="justify" vertical="center" wrapText="1"/>
    </xf>
    <xf numFmtId="170" fontId="107" fillId="0" borderId="74" xfId="0" applyFont="1" applyFill="1" applyBorder="1" applyAlignment="1">
      <alignment horizontal="justify" vertical="center" wrapText="1"/>
    </xf>
    <xf numFmtId="170" fontId="107" fillId="0" borderId="78" xfId="0" applyFont="1" applyFill="1" applyBorder="1" applyAlignment="1">
      <alignment horizontal="justify" vertical="center" wrapText="1"/>
    </xf>
    <xf numFmtId="170" fontId="56" fillId="0" borderId="131" xfId="0" applyFont="1" applyBorder="1" applyAlignment="1" applyProtection="1">
      <alignment horizontal="right"/>
    </xf>
    <xf numFmtId="170" fontId="93" fillId="0" borderId="131" xfId="0" applyFont="1" applyBorder="1" applyAlignment="1"/>
    <xf numFmtId="170" fontId="85" fillId="0" borderId="0" xfId="0" applyFont="1" applyAlignment="1" applyProtection="1">
      <alignment horizontal="right"/>
    </xf>
    <xf numFmtId="164" fontId="7" fillId="0" borderId="132" xfId="0" applyNumberFormat="1" applyFont="1" applyBorder="1" applyAlignment="1" applyProtection="1">
      <alignment horizontal="center"/>
    </xf>
    <xf numFmtId="170" fontId="7" fillId="0" borderId="133" xfId="0" applyFont="1" applyBorder="1" applyAlignment="1" applyProtection="1">
      <alignment horizontal="center"/>
    </xf>
    <xf numFmtId="170" fontId="7" fillId="0" borderId="134" xfId="0" applyFont="1" applyBorder="1" applyAlignment="1" applyProtection="1">
      <alignment horizontal="center"/>
    </xf>
    <xf numFmtId="170" fontId="19" fillId="0" borderId="137" xfId="0" applyFont="1" applyBorder="1" applyAlignment="1" applyProtection="1">
      <alignment horizontal="center" wrapText="1"/>
    </xf>
    <xf numFmtId="170" fontId="19" fillId="0" borderId="138" xfId="0" applyFont="1" applyBorder="1" applyAlignment="1" applyProtection="1">
      <alignment horizontal="center" wrapText="1"/>
    </xf>
    <xf numFmtId="170" fontId="19" fillId="0" borderId="139" xfId="0" applyFont="1" applyBorder="1" applyAlignment="1" applyProtection="1">
      <alignment horizontal="center" wrapText="1"/>
    </xf>
    <xf numFmtId="170" fontId="0" fillId="5" borderId="28" xfId="0" applyFill="1" applyBorder="1" applyAlignment="1" applyProtection="1">
      <alignment horizontal="center"/>
    </xf>
    <xf numFmtId="170" fontId="0" fillId="5" borderId="30" xfId="0" applyFill="1" applyBorder="1" applyAlignment="1" applyProtection="1">
      <alignment horizontal="center"/>
    </xf>
    <xf numFmtId="170" fontId="0" fillId="2" borderId="140" xfId="0" applyFill="1" applyBorder="1" applyAlignment="1" applyProtection="1">
      <alignment horizontal="center" vertical="center" textRotation="90"/>
    </xf>
    <xf numFmtId="49" fontId="7" fillId="0" borderId="15" xfId="0" applyNumberFormat="1" applyFont="1" applyBorder="1" applyAlignment="1" applyProtection="1">
      <alignment horizontal="center"/>
    </xf>
    <xf numFmtId="49" fontId="7" fillId="0" borderId="2" xfId="0" applyNumberFormat="1" applyFont="1" applyBorder="1" applyAlignment="1" applyProtection="1">
      <alignment horizontal="center"/>
    </xf>
    <xf numFmtId="170" fontId="51" fillId="0" borderId="123" xfId="0" applyFont="1" applyFill="1" applyBorder="1" applyAlignment="1" applyProtection="1">
      <alignment horizontal="center" vertical="center"/>
    </xf>
    <xf numFmtId="170" fontId="51" fillId="0" borderId="124" xfId="0" applyFont="1" applyFill="1" applyBorder="1" applyAlignment="1" applyProtection="1">
      <alignment horizontal="center" vertical="center"/>
    </xf>
    <xf numFmtId="170" fontId="51" fillId="0" borderId="125" xfId="0" applyFont="1" applyFill="1" applyBorder="1" applyAlignment="1" applyProtection="1">
      <alignment horizontal="center" vertical="center"/>
    </xf>
    <xf numFmtId="170" fontId="0" fillId="0" borderId="126" xfId="0" applyFill="1" applyBorder="1" applyAlignment="1" applyProtection="1">
      <alignment horizontal="center" vertical="center"/>
      <protection locked="0"/>
    </xf>
    <xf numFmtId="170" fontId="0" fillId="0" borderId="127" xfId="0" applyFill="1" applyBorder="1" applyAlignment="1" applyProtection="1">
      <alignment horizontal="center" vertical="center"/>
      <protection locked="0"/>
    </xf>
    <xf numFmtId="170" fontId="0" fillId="0" borderId="128" xfId="0" applyFill="1" applyBorder="1" applyAlignment="1" applyProtection="1">
      <alignment horizontal="center" vertical="center"/>
      <protection locked="0"/>
    </xf>
    <xf numFmtId="49" fontId="0" fillId="0" borderId="28" xfId="0" applyNumberFormat="1" applyBorder="1" applyAlignment="1" applyProtection="1">
      <alignment horizontal="center"/>
      <protection locked="0"/>
    </xf>
    <xf numFmtId="49" fontId="0" fillId="0" borderId="30" xfId="0" applyNumberFormat="1" applyBorder="1" applyAlignment="1" applyProtection="1">
      <alignment horizontal="center"/>
      <protection locked="0"/>
    </xf>
    <xf numFmtId="49" fontId="0" fillId="0" borderId="28" xfId="0" applyNumberFormat="1" applyBorder="1" applyAlignment="1" applyProtection="1">
      <alignment horizontal="justify" wrapText="1"/>
      <protection locked="0"/>
    </xf>
    <xf numFmtId="49" fontId="0" fillId="0" borderId="29" xfId="0" applyNumberFormat="1" applyBorder="1" applyAlignment="1" applyProtection="1">
      <alignment horizontal="justify" wrapText="1"/>
      <protection locked="0"/>
    </xf>
    <xf numFmtId="49" fontId="0" fillId="0" borderId="30" xfId="0" applyNumberFormat="1" applyBorder="1" applyAlignment="1" applyProtection="1">
      <alignment horizontal="justify" wrapText="1"/>
      <protection locked="0"/>
    </xf>
    <xf numFmtId="170" fontId="114" fillId="0" borderId="87" xfId="0" applyFont="1" applyFill="1" applyBorder="1" applyAlignment="1" applyProtection="1">
      <alignment horizontal="right" wrapText="1"/>
    </xf>
    <xf numFmtId="170" fontId="114" fillId="0" borderId="129" xfId="0" applyFont="1" applyFill="1" applyBorder="1" applyAlignment="1" applyProtection="1">
      <alignment horizontal="right" wrapText="1"/>
    </xf>
    <xf numFmtId="171" fontId="97" fillId="0" borderId="2" xfId="20" applyNumberFormat="1" applyFont="1" applyFill="1" applyBorder="1" applyAlignment="1" applyProtection="1">
      <alignment horizontal="center"/>
      <protection locked="0"/>
    </xf>
    <xf numFmtId="171" fontId="105" fillId="0" borderId="2" xfId="20" applyNumberFormat="1" applyFill="1" applyBorder="1" applyAlignment="1" applyProtection="1">
      <alignment horizontal="center"/>
      <protection locked="0"/>
    </xf>
    <xf numFmtId="172" fontId="107" fillId="0" borderId="28" xfId="0" applyNumberFormat="1" applyFont="1" applyFill="1" applyBorder="1" applyAlignment="1" applyProtection="1">
      <alignment horizontal="center"/>
      <protection locked="0"/>
    </xf>
    <xf numFmtId="172" fontId="107" fillId="0" borderId="30" xfId="0" applyNumberFormat="1" applyFont="1" applyFill="1" applyBorder="1" applyAlignment="1" applyProtection="1">
      <alignment horizontal="center"/>
      <protection locked="0"/>
    </xf>
    <xf numFmtId="49" fontId="111" fillId="0" borderId="2" xfId="0" applyNumberFormat="1" applyFont="1" applyBorder="1" applyAlignment="1" applyProtection="1">
      <alignment horizontal="center"/>
      <protection locked="0"/>
    </xf>
    <xf numFmtId="49" fontId="0" fillId="0" borderId="29" xfId="0" applyNumberFormat="1" applyBorder="1" applyAlignment="1" applyProtection="1">
      <alignment horizontal="center"/>
      <protection locked="0"/>
    </xf>
    <xf numFmtId="164" fontId="8" fillId="16" borderId="2" xfId="20" applyFont="1" applyFill="1" applyBorder="1" applyAlignment="1" applyProtection="1">
      <alignment horizontal="center"/>
      <protection locked="0"/>
    </xf>
    <xf numFmtId="164" fontId="17" fillId="6" borderId="25" xfId="20" applyFont="1" applyFill="1" applyBorder="1" applyAlignment="1" applyProtection="1">
      <alignment horizontal="center"/>
    </xf>
    <xf numFmtId="164" fontId="1" fillId="0" borderId="25" xfId="20" applyFont="1" applyFill="1" applyBorder="1" applyAlignment="1" applyProtection="1">
      <alignment horizontal="right"/>
    </xf>
    <xf numFmtId="164" fontId="87" fillId="13" borderId="25" xfId="20" applyFont="1" applyFill="1" applyBorder="1" applyAlignment="1" applyProtection="1">
      <alignment horizontal="center"/>
    </xf>
    <xf numFmtId="164" fontId="1" fillId="0" borderId="25" xfId="20" applyFont="1" applyFill="1" applyBorder="1" applyAlignment="1" applyProtection="1">
      <alignment horizontal="right" wrapText="1"/>
    </xf>
    <xf numFmtId="171" fontId="17" fillId="6" borderId="25" xfId="20" applyNumberFormat="1" applyFont="1" applyFill="1" applyBorder="1" applyAlignment="1" applyProtection="1">
      <alignment horizontal="center"/>
    </xf>
    <xf numFmtId="171" fontId="0" fillId="0" borderId="25" xfId="0" applyNumberFormat="1" applyBorder="1" applyAlignment="1"/>
    <xf numFmtId="164" fontId="112" fillId="14" borderId="0" xfId="4" applyFont="1" applyFill="1" applyAlignment="1" applyProtection="1">
      <alignment horizontal="center" vertical="center"/>
    </xf>
    <xf numFmtId="164" fontId="26" fillId="6" borderId="0" xfId="15" applyFont="1" applyFill="1" applyAlignment="1" applyProtection="1">
      <alignment horizontal="center" vertical="center" wrapText="1"/>
    </xf>
    <xf numFmtId="173" fontId="17" fillId="6" borderId="25" xfId="20" applyNumberFormat="1" applyFont="1" applyFill="1" applyBorder="1" applyAlignment="1" applyProtection="1">
      <alignment horizontal="center" vertical="center"/>
    </xf>
    <xf numFmtId="164" fontId="1" fillId="0" borderId="25" xfId="20" applyFont="1" applyBorder="1" applyAlignment="1" applyProtection="1">
      <alignment horizontal="right"/>
    </xf>
    <xf numFmtId="164" fontId="13" fillId="0" borderId="0" xfId="15" applyFont="1" applyFill="1" applyAlignment="1" applyProtection="1">
      <alignment horizontal="right" vertical="center"/>
    </xf>
    <xf numFmtId="164" fontId="17" fillId="6" borderId="0" xfId="15" applyFont="1" applyFill="1" applyAlignment="1" applyProtection="1">
      <alignment horizontal="center" vertical="center" wrapText="1"/>
    </xf>
    <xf numFmtId="164" fontId="42" fillId="14" borderId="0" xfId="13" applyFont="1" applyFill="1" applyAlignment="1">
      <alignment horizontal="center" vertical="center"/>
    </xf>
    <xf numFmtId="164" fontId="8" fillId="13" borderId="0" xfId="20" applyFont="1" applyFill="1" applyBorder="1" applyAlignment="1" applyProtection="1">
      <alignment horizontal="center"/>
    </xf>
    <xf numFmtId="170" fontId="82" fillId="0" borderId="0" xfId="0" applyFont="1" applyAlignment="1">
      <alignment horizontal="center"/>
    </xf>
    <xf numFmtId="164" fontId="7" fillId="0" borderId="0" xfId="0" applyNumberFormat="1" applyFont="1" applyAlignment="1">
      <alignment horizontal="center"/>
    </xf>
    <xf numFmtId="164" fontId="21" fillId="0" borderId="0" xfId="0" applyNumberFormat="1" applyFont="1" applyAlignment="1">
      <alignment horizontal="right"/>
    </xf>
    <xf numFmtId="164" fontId="21" fillId="0" borderId="0" xfId="0" applyNumberFormat="1" applyFont="1" applyAlignment="1">
      <alignment horizontal="left"/>
    </xf>
    <xf numFmtId="15" fontId="21" fillId="0" borderId="0" xfId="0" applyNumberFormat="1" applyFont="1" applyAlignment="1">
      <alignment horizontal="right"/>
    </xf>
    <xf numFmtId="164" fontId="28" fillId="0" borderId="0" xfId="0" applyNumberFormat="1" applyFont="1" applyAlignment="1">
      <alignment wrapText="1"/>
    </xf>
    <xf numFmtId="170" fontId="0" fillId="0" borderId="0" xfId="0" applyAlignment="1">
      <alignment wrapText="1"/>
    </xf>
    <xf numFmtId="170" fontId="23" fillId="5" borderId="28" xfId="0" applyFont="1" applyFill="1" applyBorder="1" applyAlignment="1" applyProtection="1">
      <alignment horizontal="justify" vertical="center" wrapText="1"/>
      <protection locked="0"/>
    </xf>
    <xf numFmtId="170" fontId="107" fillId="0" borderId="29" xfId="0" applyFont="1" applyBorder="1" applyAlignment="1">
      <alignment horizontal="justify" vertical="center" wrapText="1"/>
    </xf>
    <xf numFmtId="170" fontId="107" fillId="0" borderId="30" xfId="0" applyFont="1" applyBorder="1" applyAlignment="1">
      <alignment horizontal="justify" vertical="center" wrapText="1"/>
    </xf>
    <xf numFmtId="170" fontId="23" fillId="5" borderId="29" xfId="0" applyFont="1" applyFill="1" applyBorder="1" applyAlignment="1" applyProtection="1">
      <alignment horizontal="justify" vertical="center" wrapText="1"/>
      <protection locked="0"/>
    </xf>
    <xf numFmtId="170" fontId="23" fillId="5" borderId="30" xfId="0" applyFont="1" applyFill="1" applyBorder="1" applyAlignment="1" applyProtection="1">
      <alignment horizontal="justify" vertical="center" wrapText="1"/>
      <protection locked="0"/>
    </xf>
    <xf numFmtId="170" fontId="7" fillId="0" borderId="0" xfId="0" applyFont="1" applyBorder="1" applyAlignment="1">
      <alignment horizontal="center"/>
    </xf>
    <xf numFmtId="164" fontId="28" fillId="0" borderId="0" xfId="0" applyNumberFormat="1" applyFont="1" applyFill="1" applyAlignment="1">
      <alignment wrapText="1"/>
    </xf>
    <xf numFmtId="170" fontId="0" fillId="0" borderId="0" xfId="0" applyFill="1" applyAlignment="1">
      <alignment wrapText="1"/>
    </xf>
    <xf numFmtId="170" fontId="57" fillId="0" borderId="0" xfId="0" applyFont="1" applyAlignment="1">
      <alignment horizontal="left" wrapText="1"/>
    </xf>
    <xf numFmtId="170" fontId="0" fillId="0" borderId="126" xfId="0" applyFill="1" applyBorder="1" applyAlignment="1" applyProtection="1">
      <alignment horizontal="center" vertical="center"/>
    </xf>
    <xf numFmtId="170" fontId="0" fillId="0" borderId="127" xfId="0" applyFill="1" applyBorder="1" applyAlignment="1" applyProtection="1">
      <alignment horizontal="center" vertical="center"/>
    </xf>
    <xf numFmtId="170" fontId="0" fillId="0" borderId="128" xfId="0" applyFill="1" applyBorder="1" applyAlignment="1" applyProtection="1">
      <alignment horizontal="center" vertical="center"/>
    </xf>
    <xf numFmtId="164" fontId="113" fillId="14" borderId="0" xfId="4" applyFont="1" applyFill="1" applyAlignment="1" applyProtection="1">
      <alignment horizontal="center" vertical="center"/>
    </xf>
    <xf numFmtId="164" fontId="7" fillId="0" borderId="0" xfId="0" applyNumberFormat="1" applyFont="1" applyAlignment="1" applyProtection="1">
      <alignment horizontal="center" wrapText="1"/>
    </xf>
    <xf numFmtId="164" fontId="21" fillId="0" borderId="0" xfId="0" applyNumberFormat="1" applyFont="1" applyAlignment="1" applyProtection="1">
      <alignment horizontal="right"/>
    </xf>
    <xf numFmtId="15" fontId="21" fillId="0" borderId="0" xfId="0" applyNumberFormat="1" applyFont="1" applyAlignment="1" applyProtection="1">
      <alignment horizontal="right"/>
    </xf>
    <xf numFmtId="164" fontId="7" fillId="0" borderId="0" xfId="0" applyNumberFormat="1" applyFont="1" applyAlignment="1" applyProtection="1">
      <alignment horizontal="center"/>
    </xf>
    <xf numFmtId="164" fontId="21" fillId="0" borderId="0" xfId="0" applyNumberFormat="1" applyFont="1" applyAlignment="1" applyProtection="1">
      <alignment horizontal="left"/>
    </xf>
    <xf numFmtId="170" fontId="0" fillId="0" borderId="141" xfId="0" applyBorder="1" applyAlignment="1" applyProtection="1">
      <alignment horizontal="center"/>
    </xf>
    <xf numFmtId="170" fontId="0" fillId="0" borderId="43" xfId="0" applyBorder="1" applyAlignment="1" applyProtection="1">
      <alignment horizontal="center"/>
    </xf>
    <xf numFmtId="170" fontId="88" fillId="0" borderId="142" xfId="0" applyFont="1" applyFill="1" applyBorder="1" applyAlignment="1" applyProtection="1">
      <alignment horizontal="left" wrapText="1"/>
    </xf>
    <xf numFmtId="170" fontId="88" fillId="0" borderId="143" xfId="0" applyFont="1" applyFill="1" applyBorder="1" applyAlignment="1" applyProtection="1">
      <alignment horizontal="left" wrapText="1"/>
    </xf>
    <xf numFmtId="164" fontId="30" fillId="0" borderId="0" xfId="0" applyNumberFormat="1" applyFont="1" applyAlignment="1" applyProtection="1">
      <alignment wrapText="1"/>
    </xf>
    <xf numFmtId="170" fontId="82" fillId="0" borderId="0" xfId="0" applyFont="1" applyAlignment="1" applyProtection="1">
      <alignment horizontal="center"/>
    </xf>
    <xf numFmtId="170" fontId="88" fillId="0" borderId="144" xfId="0" applyFont="1" applyFill="1" applyBorder="1" applyAlignment="1" applyProtection="1">
      <alignment horizontal="left" wrapText="1"/>
    </xf>
    <xf numFmtId="170" fontId="88" fillId="0" borderId="69" xfId="0" applyFont="1" applyFill="1" applyBorder="1" applyAlignment="1" applyProtection="1">
      <alignment horizontal="left" wrapText="1"/>
    </xf>
    <xf numFmtId="164" fontId="30" fillId="0" borderId="0" xfId="0" applyNumberFormat="1" applyFont="1" applyBorder="1" applyAlignment="1" applyProtection="1">
      <alignment wrapText="1"/>
    </xf>
    <xf numFmtId="170" fontId="130" fillId="5" borderId="28" xfId="0" applyFont="1" applyFill="1" applyBorder="1" applyAlignment="1" applyProtection="1">
      <alignment horizontal="justify" vertical="center" wrapText="1"/>
      <protection locked="0"/>
    </xf>
    <xf numFmtId="170" fontId="130" fillId="5" borderId="29" xfId="0" applyFont="1" applyFill="1" applyBorder="1" applyAlignment="1" applyProtection="1">
      <alignment horizontal="justify" vertical="center" wrapText="1"/>
      <protection locked="0"/>
    </xf>
    <xf numFmtId="170" fontId="130" fillId="5" borderId="30" xfId="0" applyFont="1" applyFill="1" applyBorder="1" applyAlignment="1" applyProtection="1">
      <alignment horizontal="justify" vertical="center" wrapText="1"/>
      <protection locked="0"/>
    </xf>
    <xf numFmtId="164" fontId="81" fillId="0" borderId="119" xfId="0" applyNumberFormat="1" applyFont="1" applyBorder="1" applyAlignment="1" applyProtection="1">
      <alignment horizontal="center" vertical="center" wrapText="1"/>
    </xf>
    <xf numFmtId="164" fontId="81" fillId="0" borderId="120" xfId="0" applyNumberFormat="1" applyFont="1" applyBorder="1" applyAlignment="1" applyProtection="1">
      <alignment horizontal="center" vertical="center" wrapText="1"/>
    </xf>
    <xf numFmtId="164" fontId="81" fillId="0" borderId="121" xfId="0" applyNumberFormat="1" applyFont="1" applyBorder="1" applyAlignment="1" applyProtection="1">
      <alignment horizontal="center" vertical="center" wrapText="1"/>
    </xf>
    <xf numFmtId="170" fontId="126" fillId="0" borderId="29" xfId="0" applyFont="1" applyBorder="1" applyAlignment="1" applyProtection="1">
      <alignment horizontal="justify" vertical="center" wrapText="1"/>
      <protection locked="0"/>
    </xf>
    <xf numFmtId="170" fontId="126" fillId="0" borderId="30" xfId="0" applyFont="1" applyBorder="1" applyAlignment="1" applyProtection="1">
      <alignment horizontal="justify" vertical="center" wrapText="1"/>
      <protection locked="0"/>
    </xf>
    <xf numFmtId="170" fontId="136" fillId="5" borderId="28" xfId="0" applyFont="1" applyFill="1" applyBorder="1" applyAlignment="1" applyProtection="1">
      <alignment horizontal="justify" vertical="center" wrapText="1"/>
      <protection locked="0"/>
    </xf>
    <xf numFmtId="170" fontId="132" fillId="0" borderId="29" xfId="0" applyFont="1" applyBorder="1" applyAlignment="1" applyProtection="1">
      <alignment horizontal="justify" vertical="center" wrapText="1"/>
      <protection locked="0"/>
    </xf>
    <xf numFmtId="170" fontId="132" fillId="0" borderId="30" xfId="0" applyFont="1" applyBorder="1" applyAlignment="1" applyProtection="1">
      <alignment horizontal="justify" vertical="center" wrapText="1"/>
      <protection locked="0"/>
    </xf>
    <xf numFmtId="164" fontId="42" fillId="14" borderId="0" xfId="13" applyFont="1" applyFill="1" applyAlignment="1" applyProtection="1">
      <alignment horizontal="center" vertical="center"/>
    </xf>
    <xf numFmtId="164" fontId="82" fillId="0" borderId="0" xfId="0" applyNumberFormat="1" applyFont="1" applyAlignment="1" applyProtection="1">
      <alignment horizontal="center"/>
    </xf>
    <xf numFmtId="164" fontId="26" fillId="0" borderId="0" xfId="0" applyNumberFormat="1" applyFont="1" applyAlignment="1" applyProtection="1">
      <alignment horizontal="center"/>
    </xf>
    <xf numFmtId="164" fontId="8" fillId="13" borderId="0" xfId="21" applyFont="1" applyFill="1" applyBorder="1" applyAlignment="1" applyProtection="1">
      <alignment horizontal="center"/>
    </xf>
    <xf numFmtId="170" fontId="27" fillId="0" borderId="28" xfId="0" applyFont="1" applyBorder="1" applyAlignment="1" applyProtection="1">
      <alignment horizontal="center" vertical="center"/>
    </xf>
    <xf numFmtId="170" fontId="27" fillId="0" borderId="29" xfId="0" applyFont="1" applyBorder="1" applyAlignment="1" applyProtection="1">
      <alignment horizontal="center" vertical="center"/>
    </xf>
    <xf numFmtId="170" fontId="27" fillId="0" borderId="30" xfId="0" applyFont="1" applyBorder="1" applyAlignment="1" applyProtection="1">
      <alignment horizontal="center" vertical="center"/>
    </xf>
    <xf numFmtId="9" fontId="80" fillId="5" borderId="2" xfId="19" applyFont="1" applyFill="1" applyBorder="1" applyAlignment="1" applyProtection="1">
      <alignment horizontal="justify" vertical="center" wrapText="1"/>
      <protection locked="0"/>
    </xf>
    <xf numFmtId="9" fontId="134" fillId="5" borderId="2" xfId="19" applyFont="1" applyFill="1" applyBorder="1" applyAlignment="1" applyProtection="1">
      <alignment horizontal="justify" vertical="center" wrapText="1"/>
      <protection locked="0"/>
    </xf>
    <xf numFmtId="176" fontId="21" fillId="0" borderId="28" xfId="19" applyNumberFormat="1" applyFont="1" applyBorder="1" applyAlignment="1" applyProtection="1">
      <alignment horizontal="center" vertical="center" wrapText="1"/>
    </xf>
    <xf numFmtId="176" fontId="21" fillId="0" borderId="29" xfId="19" applyNumberFormat="1" applyFont="1" applyBorder="1" applyAlignment="1" applyProtection="1">
      <alignment horizontal="center" vertical="center" wrapText="1"/>
    </xf>
    <xf numFmtId="176" fontId="21" fillId="0" borderId="30" xfId="19" applyNumberFormat="1" applyFont="1" applyBorder="1" applyAlignment="1" applyProtection="1">
      <alignment horizontal="center" vertical="center" wrapText="1"/>
    </xf>
    <xf numFmtId="9" fontId="30" fillId="15" borderId="28" xfId="19" applyFont="1" applyFill="1" applyBorder="1" applyAlignment="1" applyProtection="1">
      <alignment horizontal="center" vertical="center" wrapText="1"/>
    </xf>
    <xf numFmtId="9" fontId="30" fillId="15" borderId="30" xfId="19" applyFont="1" applyFill="1" applyBorder="1" applyAlignment="1" applyProtection="1">
      <alignment horizontal="center" vertical="center" wrapText="1"/>
    </xf>
    <xf numFmtId="9" fontId="30" fillId="17" borderId="28" xfId="19" applyFont="1" applyFill="1" applyBorder="1" applyAlignment="1" applyProtection="1">
      <alignment horizontal="center" vertical="center" wrapText="1"/>
    </xf>
    <xf numFmtId="9" fontId="30" fillId="17" borderId="30" xfId="19" applyFont="1" applyFill="1" applyBorder="1" applyAlignment="1" applyProtection="1">
      <alignment horizontal="center" vertical="center" wrapText="1"/>
    </xf>
    <xf numFmtId="170" fontId="27" fillId="3" borderId="0" xfId="0" applyFont="1" applyFill="1" applyAlignment="1" applyProtection="1">
      <alignment horizontal="center" vertical="center" wrapText="1"/>
    </xf>
    <xf numFmtId="170" fontId="80" fillId="0" borderId="2" xfId="0" applyFont="1" applyBorder="1" applyAlignment="1" applyProtection="1">
      <alignment horizontal="justify" vertical="center" wrapText="1"/>
    </xf>
    <xf numFmtId="170" fontId="27" fillId="3" borderId="0" xfId="0" applyFont="1" applyFill="1" applyAlignment="1" applyProtection="1">
      <alignment horizontal="left"/>
      <protection locked="0"/>
    </xf>
    <xf numFmtId="170" fontId="27" fillId="3" borderId="26" xfId="0" applyFont="1" applyFill="1" applyBorder="1" applyAlignment="1" applyProtection="1">
      <alignment horizontal="left"/>
      <protection locked="0"/>
    </xf>
    <xf numFmtId="170" fontId="27" fillId="3" borderId="145" xfId="0" applyFont="1" applyFill="1" applyBorder="1" applyAlignment="1" applyProtection="1">
      <alignment horizontal="left"/>
      <protection locked="0"/>
    </xf>
    <xf numFmtId="170" fontId="27" fillId="3" borderId="0" xfId="0" applyFont="1" applyFill="1" applyBorder="1" applyAlignment="1" applyProtection="1">
      <alignment horizontal="left"/>
      <protection locked="0"/>
    </xf>
    <xf numFmtId="170" fontId="27" fillId="3" borderId="0" xfId="0" applyFont="1" applyFill="1" applyBorder="1" applyAlignment="1" applyProtection="1">
      <alignment horizontal="left"/>
    </xf>
    <xf numFmtId="170" fontId="27" fillId="3" borderId="0" xfId="0" applyFont="1" applyFill="1" applyBorder="1" applyAlignment="1" applyProtection="1">
      <alignment horizontal="left" vertical="center" wrapText="1"/>
    </xf>
    <xf numFmtId="170" fontId="80" fillId="0" borderId="28" xfId="0" applyFont="1" applyBorder="1" applyAlignment="1" applyProtection="1">
      <alignment horizontal="justify" vertical="center" wrapText="1"/>
    </xf>
    <xf numFmtId="170" fontId="80" fillId="0" borderId="29" xfId="0" applyFont="1" applyBorder="1" applyAlignment="1" applyProtection="1">
      <alignment horizontal="justify" vertical="center" wrapText="1"/>
    </xf>
    <xf numFmtId="170" fontId="80" fillId="0" borderId="30" xfId="0" applyFont="1" applyBorder="1" applyAlignment="1" applyProtection="1">
      <alignment horizontal="justify" vertical="center" wrapText="1"/>
    </xf>
    <xf numFmtId="170" fontId="80" fillId="5" borderId="28" xfId="19" applyNumberFormat="1" applyFont="1" applyFill="1" applyBorder="1" applyAlignment="1" applyProtection="1">
      <alignment horizontal="justify" vertical="center" wrapText="1"/>
      <protection locked="0"/>
    </xf>
    <xf numFmtId="9" fontId="80" fillId="5" borderId="29" xfId="19" applyFont="1" applyFill="1" applyBorder="1" applyAlignment="1" applyProtection="1">
      <alignment horizontal="justify" vertical="center" wrapText="1"/>
      <protection locked="0"/>
    </xf>
    <xf numFmtId="9" fontId="80" fillId="5" borderId="30" xfId="19" applyFont="1" applyFill="1" applyBorder="1" applyAlignment="1" applyProtection="1">
      <alignment horizontal="justify" vertical="center" wrapText="1"/>
      <protection locked="0"/>
    </xf>
    <xf numFmtId="170" fontId="80" fillId="5" borderId="29" xfId="19" applyNumberFormat="1" applyFont="1" applyFill="1" applyBorder="1" applyAlignment="1" applyProtection="1">
      <alignment horizontal="justify" vertical="center" wrapText="1"/>
      <protection locked="0"/>
    </xf>
    <xf numFmtId="170" fontId="80" fillId="5" borderId="30" xfId="19" applyNumberFormat="1" applyFont="1" applyFill="1" applyBorder="1" applyAlignment="1" applyProtection="1">
      <alignment horizontal="justify" vertical="center" wrapText="1"/>
      <protection locked="0"/>
    </xf>
    <xf numFmtId="170" fontId="134" fillId="5" borderId="29" xfId="19" applyNumberFormat="1" applyFont="1" applyFill="1" applyBorder="1" applyAlignment="1" applyProtection="1">
      <alignment horizontal="justify" vertical="center" wrapText="1"/>
      <protection locked="0"/>
    </xf>
    <xf numFmtId="170" fontId="134" fillId="5" borderId="30" xfId="19" applyNumberFormat="1" applyFont="1" applyFill="1" applyBorder="1" applyAlignment="1" applyProtection="1">
      <alignment horizontal="justify" vertical="center" wrapText="1"/>
      <protection locked="0"/>
    </xf>
    <xf numFmtId="170" fontId="23" fillId="3" borderId="0" xfId="0" applyFont="1" applyFill="1" applyBorder="1" applyAlignment="1" applyProtection="1">
      <alignment horizontal="left"/>
    </xf>
    <xf numFmtId="9" fontId="134" fillId="5" borderId="28" xfId="19" applyFont="1" applyFill="1" applyBorder="1" applyAlignment="1" applyProtection="1">
      <alignment horizontal="justify" vertical="center" wrapText="1"/>
      <protection locked="0"/>
    </xf>
    <xf numFmtId="9" fontId="134" fillId="5" borderId="29" xfId="19" applyFont="1" applyFill="1" applyBorder="1" applyAlignment="1" applyProtection="1">
      <alignment horizontal="justify" vertical="center" wrapText="1"/>
      <protection locked="0"/>
    </xf>
    <xf numFmtId="9" fontId="134" fillId="5" borderId="30" xfId="19" applyFont="1" applyFill="1" applyBorder="1" applyAlignment="1" applyProtection="1">
      <alignment horizontal="justify" vertical="center" wrapText="1"/>
      <protection locked="0"/>
    </xf>
    <xf numFmtId="170" fontId="83" fillId="5" borderId="28" xfId="0" applyFont="1" applyFill="1" applyBorder="1" applyAlignment="1" applyProtection="1">
      <alignment horizontal="justify" vertical="top" wrapText="1"/>
      <protection locked="0"/>
    </xf>
    <xf numFmtId="170" fontId="129" fillId="5" borderId="29" xfId="0" applyFont="1" applyFill="1" applyBorder="1" applyAlignment="1" applyProtection="1">
      <alignment horizontal="justify" vertical="top" wrapText="1"/>
      <protection locked="0"/>
    </xf>
    <xf numFmtId="170" fontId="129" fillId="5" borderId="30" xfId="0" applyFont="1" applyFill="1" applyBorder="1" applyAlignment="1" applyProtection="1">
      <alignment horizontal="justify" vertical="top" wrapText="1"/>
      <protection locked="0"/>
    </xf>
    <xf numFmtId="164" fontId="21" fillId="0" borderId="0" xfId="0" applyNumberFormat="1" applyFont="1" applyAlignment="1" applyProtection="1">
      <alignment horizontal="right" wrapText="1"/>
    </xf>
    <xf numFmtId="174" fontId="129" fillId="0" borderId="29" xfId="0" applyNumberFormat="1" applyFont="1" applyBorder="1" applyAlignment="1" applyProtection="1">
      <alignment horizontal="justify" vertical="center" wrapText="1"/>
    </xf>
    <xf numFmtId="170" fontId="129" fillId="0" borderId="29" xfId="0" applyFont="1" applyBorder="1" applyAlignment="1" applyProtection="1">
      <alignment horizontal="justify" vertical="center" wrapText="1"/>
    </xf>
    <xf numFmtId="170" fontId="135" fillId="0" borderId="29" xfId="0" applyFont="1" applyBorder="1" applyAlignment="1">
      <alignment horizontal="justify" vertical="top" wrapText="1"/>
    </xf>
    <xf numFmtId="170" fontId="135" fillId="0" borderId="30" xfId="0" applyFont="1" applyBorder="1" applyAlignment="1">
      <alignment horizontal="justify" vertical="top" wrapText="1"/>
    </xf>
    <xf numFmtId="170" fontId="129" fillId="5" borderId="28" xfId="0" applyFont="1" applyFill="1" applyBorder="1" applyAlignment="1" applyProtection="1">
      <alignment horizontal="justify" vertical="top" wrapText="1"/>
      <protection locked="0"/>
    </xf>
    <xf numFmtId="170" fontId="26" fillId="0" borderId="74" xfId="0" applyFont="1" applyBorder="1" applyAlignment="1" applyProtection="1">
      <alignment horizontal="center"/>
    </xf>
    <xf numFmtId="170" fontId="27" fillId="0" borderId="2" xfId="0" applyFont="1" applyBorder="1" applyAlignment="1" applyProtection="1">
      <alignment horizontal="center" vertical="center" wrapText="1"/>
    </xf>
    <xf numFmtId="170" fontId="119" fillId="0" borderId="164" xfId="0" applyFont="1" applyFill="1" applyBorder="1" applyAlignment="1" applyProtection="1">
      <alignment horizontal="center"/>
    </xf>
    <xf numFmtId="170" fontId="119" fillId="0" borderId="165" xfId="0" applyFont="1" applyFill="1" applyBorder="1" applyAlignment="1" applyProtection="1">
      <alignment horizontal="center"/>
    </xf>
    <xf numFmtId="170" fontId="52" fillId="0" borderId="0" xfId="0" applyFont="1" applyFill="1" applyBorder="1" applyAlignment="1" applyProtection="1">
      <alignment horizontal="center"/>
    </xf>
    <xf numFmtId="170" fontId="52" fillId="0" borderId="164" xfId="0" applyFont="1" applyFill="1" applyBorder="1" applyAlignment="1" applyProtection="1">
      <alignment horizontal="center"/>
    </xf>
    <xf numFmtId="170" fontId="41" fillId="9" borderId="152" xfId="0" applyFont="1" applyFill="1" applyBorder="1" applyAlignment="1" applyProtection="1">
      <alignment horizontal="center" vertical="center"/>
    </xf>
    <xf numFmtId="170" fontId="41" fillId="9" borderId="153" xfId="0" applyFont="1" applyFill="1" applyBorder="1" applyAlignment="1" applyProtection="1">
      <alignment horizontal="center" vertical="center"/>
    </xf>
    <xf numFmtId="170" fontId="41" fillId="9" borderId="154" xfId="0" applyFont="1" applyFill="1" applyBorder="1" applyAlignment="1" applyProtection="1">
      <alignment horizontal="center" vertical="center"/>
    </xf>
    <xf numFmtId="49" fontId="2" fillId="9" borderId="168" xfId="0" applyNumberFormat="1" applyFont="1" applyFill="1" applyBorder="1" applyAlignment="1" applyProtection="1">
      <alignment horizontal="center" vertical="center"/>
      <protection locked="0"/>
    </xf>
    <xf numFmtId="49" fontId="2" fillId="9" borderId="169" xfId="0" applyNumberFormat="1" applyFont="1" applyFill="1" applyBorder="1" applyAlignment="1" applyProtection="1">
      <alignment horizontal="center" vertical="center"/>
      <protection locked="0"/>
    </xf>
    <xf numFmtId="49" fontId="2" fillId="9" borderId="170" xfId="0" applyNumberFormat="1" applyFont="1" applyFill="1" applyBorder="1" applyAlignment="1" applyProtection="1">
      <alignment horizontal="center" vertical="center"/>
      <protection locked="0"/>
    </xf>
    <xf numFmtId="170" fontId="2" fillId="0" borderId="29" xfId="0" applyNumberFormat="1" applyFont="1" applyFill="1" applyBorder="1" applyAlignment="1" applyProtection="1">
      <alignment horizontal="justify" vertical="center" wrapText="1"/>
    </xf>
    <xf numFmtId="170" fontId="2" fillId="0" borderId="167" xfId="0" applyNumberFormat="1" applyFont="1" applyFill="1" applyBorder="1" applyAlignment="1" applyProtection="1">
      <alignment horizontal="justify" vertical="center" wrapText="1"/>
    </xf>
    <xf numFmtId="170" fontId="95" fillId="6" borderId="172" xfId="0" applyFont="1" applyFill="1" applyBorder="1" applyAlignment="1" applyProtection="1">
      <alignment horizontal="center" vertical="center"/>
    </xf>
    <xf numFmtId="170" fontId="95" fillId="6" borderId="173" xfId="0" applyFont="1" applyFill="1" applyBorder="1" applyAlignment="1" applyProtection="1">
      <alignment horizontal="center" vertical="center"/>
    </xf>
    <xf numFmtId="170" fontId="107" fillId="0" borderId="173" xfId="0" applyFont="1" applyBorder="1" applyAlignment="1">
      <alignment horizontal="center" vertical="center"/>
    </xf>
    <xf numFmtId="170" fontId="2" fillId="0" borderId="146" xfId="0" applyNumberFormat="1" applyFont="1" applyFill="1" applyBorder="1" applyAlignment="1" applyProtection="1">
      <alignment horizontal="justify" vertical="center" wrapText="1"/>
    </xf>
    <xf numFmtId="170" fontId="2" fillId="0" borderId="147" xfId="0" applyNumberFormat="1" applyFont="1" applyFill="1" applyBorder="1" applyAlignment="1" applyProtection="1">
      <alignment horizontal="justify" vertical="center" wrapText="1"/>
    </xf>
    <xf numFmtId="170" fontId="2" fillId="0" borderId="6" xfId="0" applyNumberFormat="1" applyFont="1" applyFill="1" applyBorder="1" applyAlignment="1" applyProtection="1">
      <alignment horizontal="justify" vertical="center" wrapText="1"/>
    </xf>
    <xf numFmtId="170" fontId="2" fillId="0" borderId="178" xfId="0" applyNumberFormat="1" applyFont="1" applyFill="1" applyBorder="1" applyAlignment="1" applyProtection="1">
      <alignment horizontal="justify" vertical="center" wrapText="1"/>
    </xf>
    <xf numFmtId="170" fontId="95" fillId="6" borderId="174" xfId="0" applyFont="1" applyFill="1" applyBorder="1" applyAlignment="1" applyProtection="1">
      <alignment horizontal="center" vertical="center"/>
    </xf>
    <xf numFmtId="170" fontId="95" fillId="6" borderId="175" xfId="0" applyFont="1" applyFill="1" applyBorder="1" applyAlignment="1" applyProtection="1">
      <alignment horizontal="center" vertical="center"/>
    </xf>
    <xf numFmtId="170" fontId="95" fillId="6" borderId="176" xfId="0" applyFont="1" applyFill="1" applyBorder="1" applyAlignment="1" applyProtection="1">
      <alignment horizontal="center" vertical="center"/>
    </xf>
    <xf numFmtId="170" fontId="119" fillId="0" borderId="0" xfId="0" applyFont="1" applyFill="1" applyBorder="1" applyAlignment="1" applyProtection="1">
      <alignment horizontal="center"/>
    </xf>
    <xf numFmtId="170" fontId="2" fillId="0" borderId="150" xfId="0" applyNumberFormat="1" applyFont="1" applyFill="1" applyBorder="1" applyAlignment="1" applyProtection="1">
      <alignment horizontal="justify" vertical="center" wrapText="1"/>
    </xf>
    <xf numFmtId="170" fontId="2" fillId="0" borderId="151" xfId="0" applyNumberFormat="1" applyFont="1" applyFill="1" applyBorder="1" applyAlignment="1" applyProtection="1">
      <alignment horizontal="justify" vertical="center" wrapText="1"/>
    </xf>
    <xf numFmtId="170" fontId="53" fillId="2" borderId="4" xfId="0" applyFont="1" applyFill="1" applyBorder="1" applyAlignment="1" applyProtection="1">
      <alignment horizontal="center" vertical="center"/>
    </xf>
    <xf numFmtId="170" fontId="82" fillId="0" borderId="0" xfId="0" applyFont="1" applyBorder="1" applyAlignment="1" applyProtection="1">
      <alignment horizontal="center"/>
    </xf>
    <xf numFmtId="49" fontId="2" fillId="9" borderId="177" xfId="0" applyNumberFormat="1" applyFont="1" applyFill="1" applyBorder="1" applyAlignment="1" applyProtection="1">
      <alignment horizontal="center" vertical="center"/>
      <protection locked="0"/>
    </xf>
    <xf numFmtId="49" fontId="2" fillId="9" borderId="6" xfId="0" applyNumberFormat="1" applyFont="1" applyFill="1" applyBorder="1" applyAlignment="1" applyProtection="1">
      <alignment horizontal="center" vertical="center"/>
      <protection locked="0"/>
    </xf>
    <xf numFmtId="49" fontId="2" fillId="9" borderId="178" xfId="0" applyNumberFormat="1" applyFont="1" applyFill="1" applyBorder="1" applyAlignment="1" applyProtection="1">
      <alignment horizontal="center" vertical="center"/>
      <protection locked="0"/>
    </xf>
    <xf numFmtId="170" fontId="2" fillId="6" borderId="161" xfId="0" applyFont="1" applyFill="1" applyBorder="1" applyAlignment="1" applyProtection="1">
      <alignment horizontal="center" vertical="center" wrapText="1"/>
      <protection locked="0"/>
    </xf>
    <xf numFmtId="170" fontId="2" fillId="6" borderId="162" xfId="0" applyFont="1" applyFill="1" applyBorder="1" applyAlignment="1" applyProtection="1">
      <alignment horizontal="center" vertical="center" wrapText="1"/>
      <protection locked="0"/>
    </xf>
    <xf numFmtId="170" fontId="2" fillId="6" borderId="163" xfId="0" applyFont="1" applyFill="1" applyBorder="1" applyAlignment="1" applyProtection="1">
      <alignment horizontal="center" vertical="center" wrapText="1"/>
      <protection locked="0"/>
    </xf>
    <xf numFmtId="170" fontId="2" fillId="0" borderId="179" xfId="0" applyNumberFormat="1" applyFont="1" applyFill="1" applyBorder="1" applyAlignment="1" applyProtection="1">
      <alignment horizontal="justify" vertical="center" wrapText="1"/>
    </xf>
    <xf numFmtId="170" fontId="2" fillId="0" borderId="180" xfId="0" applyNumberFormat="1" applyFont="1" applyFill="1" applyBorder="1" applyAlignment="1" applyProtection="1">
      <alignment horizontal="justify" vertical="center" wrapText="1"/>
    </xf>
    <xf numFmtId="170" fontId="2" fillId="0" borderId="171" xfId="0" applyNumberFormat="1" applyFont="1" applyFill="1" applyBorder="1" applyAlignment="1" applyProtection="1">
      <alignment horizontal="justify" vertical="center" wrapText="1"/>
    </xf>
    <xf numFmtId="170" fontId="41" fillId="5" borderId="183" xfId="0" applyFont="1" applyFill="1" applyBorder="1" applyAlignment="1" applyProtection="1">
      <alignment horizontal="center" vertical="center"/>
    </xf>
    <xf numFmtId="170" fontId="41" fillId="5" borderId="184" xfId="0" applyFont="1" applyFill="1" applyBorder="1" applyAlignment="1" applyProtection="1">
      <alignment horizontal="center" vertical="center"/>
    </xf>
    <xf numFmtId="170" fontId="41" fillId="5" borderId="185" xfId="0" applyFont="1" applyFill="1" applyBorder="1" applyAlignment="1" applyProtection="1">
      <alignment horizontal="center" vertical="center"/>
    </xf>
    <xf numFmtId="170" fontId="2" fillId="6" borderId="155" xfId="0" applyFont="1" applyFill="1" applyBorder="1" applyAlignment="1" applyProtection="1">
      <alignment horizontal="center" vertical="center" wrapText="1"/>
      <protection locked="0"/>
    </xf>
    <xf numFmtId="170" fontId="2" fillId="6" borderId="156" xfId="0" applyFont="1" applyFill="1" applyBorder="1" applyAlignment="1" applyProtection="1">
      <alignment horizontal="center" vertical="center" wrapText="1"/>
      <protection locked="0"/>
    </xf>
    <xf numFmtId="170" fontId="2" fillId="6" borderId="157" xfId="0" applyFont="1" applyFill="1" applyBorder="1" applyAlignment="1" applyProtection="1">
      <alignment horizontal="center" vertical="center" wrapText="1"/>
      <protection locked="0"/>
    </xf>
    <xf numFmtId="170" fontId="2" fillId="6" borderId="158" xfId="0" applyFont="1" applyFill="1" applyBorder="1" applyAlignment="1" applyProtection="1">
      <alignment horizontal="center" vertical="center" wrapText="1"/>
      <protection locked="0"/>
    </xf>
    <xf numFmtId="170" fontId="2" fillId="6" borderId="159" xfId="0" applyFont="1" applyFill="1" applyBorder="1" applyAlignment="1" applyProtection="1">
      <alignment horizontal="center" vertical="center" wrapText="1"/>
      <protection locked="0"/>
    </xf>
    <xf numFmtId="170" fontId="2" fillId="6" borderId="160" xfId="0" applyFont="1" applyFill="1" applyBorder="1" applyAlignment="1" applyProtection="1">
      <alignment horizontal="center" vertical="center" wrapText="1"/>
      <protection locked="0"/>
    </xf>
    <xf numFmtId="9" fontId="2" fillId="0" borderId="181" xfId="19" applyNumberFormat="1" applyFont="1" applyFill="1" applyBorder="1" applyAlignment="1" applyProtection="1">
      <alignment horizontal="justify" vertical="center" wrapText="1"/>
    </xf>
    <xf numFmtId="170" fontId="2" fillId="0" borderId="166" xfId="19" applyNumberFormat="1" applyFont="1" applyFill="1" applyBorder="1" applyAlignment="1" applyProtection="1">
      <alignment horizontal="justify" vertical="center" wrapText="1"/>
    </xf>
    <xf numFmtId="170" fontId="2" fillId="0" borderId="182" xfId="19" applyNumberFormat="1" applyFont="1" applyFill="1" applyBorder="1" applyAlignment="1" applyProtection="1">
      <alignment horizontal="justify" vertical="center" wrapText="1"/>
    </xf>
    <xf numFmtId="170" fontId="2" fillId="0" borderId="181" xfId="19" applyNumberFormat="1" applyFont="1" applyFill="1" applyBorder="1" applyAlignment="1" applyProtection="1">
      <alignment horizontal="justify" vertical="center" wrapText="1"/>
    </xf>
    <xf numFmtId="170" fontId="2" fillId="5" borderId="148" xfId="0" applyFont="1" applyFill="1" applyBorder="1" applyAlignment="1" applyProtection="1">
      <alignment horizontal="justify" vertical="top" wrapText="1"/>
      <protection locked="0"/>
    </xf>
    <xf numFmtId="170" fontId="107" fillId="0" borderId="81" xfId="0" applyFont="1" applyBorder="1" applyAlignment="1">
      <alignment horizontal="justify" vertical="top" wrapText="1"/>
    </xf>
    <xf numFmtId="170" fontId="107" fillId="0" borderId="149" xfId="0" applyFont="1" applyBorder="1" applyAlignment="1">
      <alignment horizontal="justify" vertical="top" wrapText="1"/>
    </xf>
    <xf numFmtId="170" fontId="2" fillId="5" borderId="221" xfId="0" applyFont="1" applyFill="1" applyBorder="1" applyAlignment="1" applyProtection="1">
      <alignment horizontal="justify" vertical="top" wrapText="1"/>
      <protection locked="0"/>
    </xf>
    <xf numFmtId="170" fontId="107" fillId="0" borderId="222" xfId="0" applyFont="1" applyBorder="1" applyAlignment="1">
      <alignment horizontal="justify" vertical="top" wrapText="1"/>
    </xf>
    <xf numFmtId="170" fontId="107" fillId="0" borderId="223" xfId="0" applyFont="1" applyBorder="1" applyAlignment="1">
      <alignment horizontal="justify" vertical="top" wrapText="1"/>
    </xf>
    <xf numFmtId="170" fontId="2" fillId="0" borderId="186" xfId="0" applyNumberFormat="1" applyFont="1" applyFill="1" applyBorder="1" applyAlignment="1" applyProtection="1">
      <alignment horizontal="justify" vertical="center" wrapText="1"/>
    </xf>
    <xf numFmtId="170" fontId="2" fillId="0" borderId="187" xfId="0" applyNumberFormat="1" applyFont="1" applyFill="1" applyBorder="1" applyAlignment="1" applyProtection="1">
      <alignment horizontal="justify" vertical="center" wrapText="1"/>
    </xf>
    <xf numFmtId="170" fontId="2" fillId="0" borderId="188" xfId="0" applyNumberFormat="1" applyFont="1" applyFill="1" applyBorder="1" applyAlignment="1" applyProtection="1">
      <alignment horizontal="justify" vertical="center" wrapText="1"/>
    </xf>
    <xf numFmtId="170" fontId="70" fillId="4" borderId="109" xfId="0" applyFont="1" applyFill="1" applyBorder="1" applyAlignment="1">
      <alignment horizontal="center" vertical="center" textRotation="90"/>
    </xf>
    <xf numFmtId="170" fontId="0" fillId="4" borderId="67" xfId="0" applyFill="1" applyBorder="1" applyAlignment="1">
      <alignment horizontal="center" vertical="center" textRotation="90"/>
    </xf>
    <xf numFmtId="170" fontId="0" fillId="4" borderId="77" xfId="0" applyFill="1" applyBorder="1" applyAlignment="1">
      <alignment horizontal="center" vertical="center" textRotation="90"/>
    </xf>
    <xf numFmtId="170" fontId="14" fillId="0" borderId="209" xfId="0" applyFont="1" applyFill="1" applyBorder="1" applyAlignment="1" applyProtection="1">
      <alignment horizontal="left"/>
      <protection locked="0"/>
    </xf>
    <xf numFmtId="170" fontId="14" fillId="0" borderId="166" xfId="0" applyFont="1" applyFill="1" applyBorder="1" applyAlignment="1" applyProtection="1">
      <alignment horizontal="left"/>
      <protection locked="0"/>
    </xf>
    <xf numFmtId="170" fontId="14" fillId="0" borderId="198" xfId="0" applyFont="1" applyFill="1" applyBorder="1" applyAlignment="1" applyProtection="1">
      <alignment horizontal="left"/>
      <protection locked="0"/>
    </xf>
    <xf numFmtId="170" fontId="14" fillId="0" borderId="210" xfId="0" applyFont="1" applyFill="1" applyBorder="1" applyAlignment="1" applyProtection="1">
      <alignment horizontal="left"/>
      <protection locked="0"/>
    </xf>
    <xf numFmtId="170" fontId="14" fillId="0" borderId="199" xfId="0" applyFont="1" applyFill="1" applyBorder="1" applyAlignment="1" applyProtection="1">
      <alignment horizontal="left"/>
      <protection locked="0"/>
    </xf>
    <xf numFmtId="170" fontId="14" fillId="0" borderId="200" xfId="0" applyFont="1" applyFill="1" applyBorder="1" applyAlignment="1" applyProtection="1">
      <alignment horizontal="left"/>
      <protection locked="0"/>
    </xf>
    <xf numFmtId="170" fontId="14" fillId="0" borderId="195" xfId="0" applyFont="1" applyBorder="1" applyAlignment="1" applyProtection="1">
      <alignment horizontal="left"/>
      <protection locked="0"/>
    </xf>
    <xf numFmtId="170" fontId="14" fillId="0" borderId="189" xfId="0" applyFont="1" applyBorder="1" applyAlignment="1" applyProtection="1">
      <alignment horizontal="left"/>
      <protection locked="0"/>
    </xf>
    <xf numFmtId="170" fontId="14" fillId="0" borderId="196" xfId="0" applyFont="1" applyBorder="1" applyAlignment="1" applyProtection="1">
      <alignment horizontal="left"/>
      <protection locked="0"/>
    </xf>
    <xf numFmtId="170" fontId="14" fillId="0" borderId="197" xfId="0" applyFont="1" applyBorder="1" applyAlignment="1" applyProtection="1">
      <alignment horizontal="left"/>
      <protection locked="0"/>
    </xf>
    <xf numFmtId="170" fontId="14" fillId="0" borderId="201" xfId="0" applyFont="1" applyFill="1" applyBorder="1" applyAlignment="1" applyProtection="1">
      <alignment horizontal="left" vertical="top" wrapText="1"/>
      <protection locked="0"/>
    </xf>
    <xf numFmtId="170" fontId="14" fillId="0" borderId="202" xfId="0" applyFont="1" applyFill="1" applyBorder="1" applyAlignment="1" applyProtection="1">
      <alignment horizontal="left" vertical="top" wrapText="1"/>
      <protection locked="0"/>
    </xf>
    <xf numFmtId="170" fontId="14" fillId="0" borderId="203" xfId="0" applyFont="1" applyFill="1" applyBorder="1" applyAlignment="1" applyProtection="1">
      <alignment horizontal="left" vertical="top" wrapText="1"/>
      <protection locked="0"/>
    </xf>
    <xf numFmtId="170" fontId="14" fillId="0" borderId="204" xfId="0" applyFont="1" applyFill="1" applyBorder="1" applyAlignment="1" applyProtection="1">
      <alignment horizontal="left" vertical="top" wrapText="1"/>
      <protection locked="0"/>
    </xf>
    <xf numFmtId="170" fontId="14" fillId="0" borderId="169" xfId="0" applyFont="1" applyFill="1" applyBorder="1" applyAlignment="1" applyProtection="1">
      <alignment horizontal="left" vertical="top" wrapText="1"/>
      <protection locked="0"/>
    </xf>
    <xf numFmtId="170" fontId="14" fillId="0" borderId="205" xfId="0" applyFont="1" applyFill="1" applyBorder="1" applyAlignment="1" applyProtection="1">
      <alignment horizontal="left" vertical="top" wrapText="1"/>
      <protection locked="0"/>
    </xf>
    <xf numFmtId="170" fontId="14" fillId="0" borderId="22" xfId="0" applyFont="1" applyBorder="1" applyAlignment="1" applyProtection="1">
      <alignment horizontal="left"/>
      <protection locked="0"/>
    </xf>
    <xf numFmtId="170" fontId="14" fillId="0" borderId="189" xfId="0" applyFont="1" applyFill="1" applyBorder="1" applyAlignment="1" applyProtection="1">
      <alignment horizontal="left"/>
      <protection locked="0"/>
    </xf>
    <xf numFmtId="170" fontId="14" fillId="0" borderId="190" xfId="0" applyFont="1" applyFill="1" applyBorder="1" applyAlignment="1" applyProtection="1">
      <alignment horizontal="left"/>
      <protection locked="0"/>
    </xf>
    <xf numFmtId="170" fontId="14" fillId="0" borderId="211" xfId="0" applyFont="1" applyFill="1" applyBorder="1" applyAlignment="1" applyProtection="1">
      <alignment horizontal="left" vertical="top" wrapText="1"/>
      <protection locked="0"/>
    </xf>
    <xf numFmtId="170" fontId="14" fillId="0" borderId="212" xfId="0" applyFont="1" applyFill="1" applyBorder="1" applyAlignment="1" applyProtection="1">
      <alignment horizontal="left" vertical="top" wrapText="1"/>
      <protection locked="0"/>
    </xf>
    <xf numFmtId="170" fontId="14" fillId="0" borderId="213" xfId="0" applyFont="1" applyFill="1" applyBorder="1" applyAlignment="1" applyProtection="1">
      <alignment horizontal="left" vertical="top" wrapText="1"/>
      <protection locked="0"/>
    </xf>
    <xf numFmtId="170" fontId="14" fillId="0" borderId="214" xfId="0" applyFont="1" applyFill="1" applyBorder="1" applyAlignment="1" applyProtection="1">
      <alignment horizontal="left" vertical="top" wrapText="1"/>
      <protection locked="0"/>
    </xf>
    <xf numFmtId="170" fontId="14" fillId="0" borderId="197" xfId="0" applyFont="1" applyFill="1" applyBorder="1" applyAlignment="1" applyProtection="1">
      <alignment horizontal="left"/>
      <protection locked="0"/>
    </xf>
    <xf numFmtId="170" fontId="14" fillId="0" borderId="207" xfId="0" applyFont="1" applyFill="1" applyBorder="1" applyAlignment="1" applyProtection="1">
      <alignment horizontal="left"/>
      <protection locked="0"/>
    </xf>
    <xf numFmtId="170" fontId="14" fillId="0" borderId="190" xfId="0" applyFont="1" applyBorder="1" applyAlignment="1" applyProtection="1">
      <alignment horizontal="left"/>
      <protection locked="0"/>
    </xf>
    <xf numFmtId="170" fontId="14" fillId="0" borderId="207" xfId="0" applyFont="1" applyBorder="1" applyAlignment="1" applyProtection="1">
      <alignment horizontal="left"/>
      <protection locked="0"/>
    </xf>
    <xf numFmtId="170" fontId="51" fillId="4" borderId="5" xfId="18" applyNumberFormat="1" applyFont="1" applyFill="1" applyBorder="1" applyAlignment="1">
      <alignment horizontal="center" vertical="center" wrapText="1"/>
    </xf>
    <xf numFmtId="170" fontId="51" fillId="4" borderId="218" xfId="18" applyNumberFormat="1" applyFont="1" applyFill="1" applyBorder="1" applyAlignment="1">
      <alignment horizontal="center" vertical="center" wrapText="1"/>
    </xf>
    <xf numFmtId="170" fontId="14" fillId="0" borderId="191" xfId="0" applyFont="1" applyBorder="1" applyAlignment="1" applyProtection="1">
      <alignment horizontal="left"/>
      <protection locked="0"/>
    </xf>
    <xf numFmtId="170" fontId="14" fillId="0" borderId="22" xfId="0" applyFont="1" applyFill="1" applyBorder="1" applyAlignment="1" applyProtection="1">
      <alignment horizontal="left"/>
      <protection locked="0"/>
    </xf>
    <xf numFmtId="170" fontId="14" fillId="0" borderId="215" xfId="0" applyFont="1" applyFill="1" applyBorder="1" applyAlignment="1" applyProtection="1">
      <alignment horizontal="justify" vertical="center" wrapText="1"/>
      <protection locked="0"/>
    </xf>
    <xf numFmtId="170" fontId="14" fillId="0" borderId="212" xfId="0" applyFont="1" applyFill="1" applyBorder="1" applyAlignment="1" applyProtection="1">
      <alignment horizontal="justify" vertical="center" wrapText="1"/>
      <protection locked="0"/>
    </xf>
    <xf numFmtId="170" fontId="14" fillId="0" borderId="216" xfId="0" applyFont="1" applyFill="1" applyBorder="1" applyAlignment="1" applyProtection="1">
      <alignment horizontal="justify" vertical="center" wrapText="1"/>
      <protection locked="0"/>
    </xf>
    <xf numFmtId="170" fontId="14" fillId="0" borderId="217" xfId="0" applyFont="1" applyFill="1" applyBorder="1" applyAlignment="1" applyProtection="1">
      <alignment horizontal="justify" vertical="center" wrapText="1"/>
      <protection locked="0"/>
    </xf>
    <xf numFmtId="170" fontId="14" fillId="0" borderId="169" xfId="0" applyFont="1" applyFill="1" applyBorder="1" applyAlignment="1" applyProtection="1">
      <alignment horizontal="justify" vertical="center" wrapText="1"/>
      <protection locked="0"/>
    </xf>
    <xf numFmtId="170" fontId="14" fillId="0" borderId="205" xfId="0" applyFont="1" applyFill="1" applyBorder="1" applyAlignment="1" applyProtection="1">
      <alignment horizontal="justify" vertical="center" wrapText="1"/>
      <protection locked="0"/>
    </xf>
    <xf numFmtId="170" fontId="14" fillId="0" borderId="166" xfId="0" applyFont="1" applyFill="1" applyBorder="1" applyAlignment="1" applyProtection="1">
      <alignment horizontal="left" vertical="center" wrapText="1"/>
      <protection locked="0"/>
    </xf>
    <xf numFmtId="170" fontId="14" fillId="0" borderId="198" xfId="0" applyFont="1" applyFill="1" applyBorder="1" applyAlignment="1" applyProtection="1">
      <alignment horizontal="left" vertical="center" wrapText="1"/>
      <protection locked="0"/>
    </xf>
    <xf numFmtId="170" fontId="14" fillId="0" borderId="195" xfId="0" applyFont="1" applyFill="1" applyBorder="1" applyAlignment="1" applyProtection="1">
      <alignment horizontal="left"/>
      <protection locked="0"/>
    </xf>
    <xf numFmtId="170" fontId="14" fillId="0" borderId="199" xfId="0" applyFont="1" applyFill="1" applyBorder="1" applyAlignment="1" applyProtection="1">
      <alignment horizontal="left" vertical="center" wrapText="1"/>
      <protection locked="0"/>
    </xf>
    <xf numFmtId="170" fontId="14" fillId="0" borderId="200" xfId="0" applyFont="1" applyFill="1" applyBorder="1" applyAlignment="1" applyProtection="1">
      <alignment horizontal="left" vertical="center" wrapText="1"/>
      <protection locked="0"/>
    </xf>
    <xf numFmtId="170" fontId="14" fillId="0" borderId="206" xfId="0" applyFont="1" applyFill="1" applyBorder="1" applyAlignment="1" applyProtection="1">
      <alignment horizontal="left"/>
      <protection locked="0"/>
    </xf>
    <xf numFmtId="170" fontId="14" fillId="0" borderId="219" xfId="0" applyFont="1" applyFill="1" applyBorder="1" applyAlignment="1" applyProtection="1">
      <alignment horizontal="justify" vertical="center" wrapText="1"/>
      <protection locked="0"/>
    </xf>
    <xf numFmtId="170" fontId="14" fillId="0" borderId="202" xfId="0" applyFont="1" applyFill="1" applyBorder="1" applyAlignment="1" applyProtection="1">
      <alignment horizontal="justify" vertical="center" wrapText="1"/>
      <protection locked="0"/>
    </xf>
    <xf numFmtId="170" fontId="14" fillId="0" borderId="203" xfId="0" applyFont="1" applyFill="1" applyBorder="1" applyAlignment="1" applyProtection="1">
      <alignment horizontal="justify" vertical="center" wrapText="1"/>
      <protection locked="0"/>
    </xf>
    <xf numFmtId="164" fontId="8" fillId="13" borderId="0" xfId="22" applyFont="1" applyFill="1" applyBorder="1" applyAlignment="1" applyProtection="1">
      <alignment horizontal="center"/>
      <protection locked="0"/>
    </xf>
    <xf numFmtId="170" fontId="14" fillId="0" borderId="191" xfId="0" applyFont="1" applyFill="1" applyBorder="1" applyAlignment="1" applyProtection="1">
      <alignment horizontal="left"/>
      <protection locked="0"/>
    </xf>
    <xf numFmtId="170" fontId="51" fillId="4" borderId="192" xfId="18" applyNumberFormat="1" applyFont="1" applyFill="1" applyBorder="1" applyAlignment="1">
      <alignment horizontal="center" vertical="center" wrapText="1"/>
    </xf>
    <xf numFmtId="170" fontId="51" fillId="4" borderId="193" xfId="18" applyNumberFormat="1" applyFont="1" applyFill="1" applyBorder="1" applyAlignment="1">
      <alignment horizontal="center" vertical="center" wrapText="1"/>
    </xf>
    <xf numFmtId="170" fontId="51" fillId="4" borderId="194" xfId="18" applyNumberFormat="1" applyFont="1" applyFill="1" applyBorder="1" applyAlignment="1">
      <alignment horizontal="center" vertical="center" wrapText="1"/>
    </xf>
    <xf numFmtId="170" fontId="14" fillId="0" borderId="206" xfId="0" applyFont="1" applyBorder="1" applyAlignment="1" applyProtection="1">
      <alignment horizontal="left"/>
      <protection locked="0"/>
    </xf>
    <xf numFmtId="170" fontId="107" fillId="5" borderId="111" xfId="0" applyFont="1" applyFill="1" applyBorder="1" applyAlignment="1" applyProtection="1">
      <alignment horizontal="justify" vertical="top" wrapText="1"/>
      <protection locked="0"/>
    </xf>
    <xf numFmtId="170" fontId="107" fillId="5" borderId="110" xfId="0" applyFont="1" applyFill="1" applyBorder="1" applyAlignment="1" applyProtection="1">
      <alignment horizontal="justify" vertical="top" wrapText="1"/>
      <protection locked="0"/>
    </xf>
    <xf numFmtId="170" fontId="107" fillId="5" borderId="112" xfId="0" applyFont="1" applyFill="1" applyBorder="1" applyAlignment="1" applyProtection="1">
      <alignment horizontal="justify" vertical="top" wrapText="1"/>
      <protection locked="0"/>
    </xf>
    <xf numFmtId="170" fontId="107" fillId="5" borderId="113" xfId="0" applyFont="1" applyFill="1" applyBorder="1" applyAlignment="1" applyProtection="1">
      <alignment horizontal="justify" vertical="top" wrapText="1"/>
      <protection locked="0"/>
    </xf>
    <xf numFmtId="170" fontId="107" fillId="5" borderId="74" xfId="0" applyFont="1" applyFill="1" applyBorder="1" applyAlignment="1" applyProtection="1">
      <alignment horizontal="justify" vertical="top" wrapText="1"/>
      <protection locked="0"/>
    </xf>
    <xf numFmtId="170" fontId="107" fillId="5" borderId="76" xfId="0" applyFont="1" applyFill="1" applyBorder="1" applyAlignment="1" applyProtection="1">
      <alignment horizontal="justify" vertical="top" wrapText="1"/>
      <protection locked="0"/>
    </xf>
    <xf numFmtId="170" fontId="51" fillId="4" borderId="208" xfId="18" applyNumberFormat="1" applyFont="1" applyFill="1" applyBorder="1" applyAlignment="1">
      <alignment horizontal="center" vertical="center" wrapText="1"/>
    </xf>
    <xf numFmtId="170" fontId="14" fillId="0" borderId="196" xfId="0" applyFont="1" applyFill="1" applyBorder="1" applyAlignment="1" applyProtection="1">
      <alignment horizontal="left"/>
      <protection locked="0"/>
    </xf>
    <xf numFmtId="170" fontId="26" fillId="0" borderId="0" xfId="0" applyFont="1" applyAlignment="1">
      <alignment horizontal="center"/>
    </xf>
    <xf numFmtId="164" fontId="10" fillId="14" borderId="0" xfId="4" applyFont="1" applyFill="1" applyAlignment="1">
      <alignment horizontal="center" vertical="center"/>
    </xf>
  </cellXfs>
  <cellStyles count="24">
    <cellStyle name="Comma" xfId="1" builtinId="3"/>
    <cellStyle name="Euro" xfId="2" xr:uid="{00000000-0005-0000-0000-000001000000}"/>
    <cellStyle name="Millares 2" xfId="3" xr:uid="{00000000-0005-0000-0000-000002000000}"/>
    <cellStyle name="Normal" xfId="0" builtinId="0"/>
    <cellStyle name="Normal 2" xfId="4" xr:uid="{00000000-0005-0000-0000-000004000000}"/>
    <cellStyle name="Normal 2 2" xfId="5" xr:uid="{00000000-0005-0000-0000-000005000000}"/>
    <cellStyle name="Normal 2 3" xfId="6" xr:uid="{00000000-0005-0000-0000-000006000000}"/>
    <cellStyle name="Normal 2 4" xfId="7" xr:uid="{00000000-0005-0000-0000-000007000000}"/>
    <cellStyle name="Normal 2 5" xfId="8" xr:uid="{00000000-0005-0000-0000-000008000000}"/>
    <cellStyle name="Normal 2 6" xfId="9" xr:uid="{00000000-0005-0000-0000-000009000000}"/>
    <cellStyle name="Normal 2 7" xfId="10" xr:uid="{00000000-0005-0000-0000-00000A000000}"/>
    <cellStyle name="Normal 2 8" xfId="11" xr:uid="{00000000-0005-0000-0000-00000B000000}"/>
    <cellStyle name="Normal 2_Dashboard ver 2.2 ES" xfId="12" xr:uid="{00000000-0005-0000-0000-00000C000000}"/>
    <cellStyle name="Normal 2_Prototipo" xfId="13" xr:uid="{00000000-0005-0000-0000-00000D000000}"/>
    <cellStyle name="Normal 3" xfId="14" xr:uid="{00000000-0005-0000-0000-00000E000000}"/>
    <cellStyle name="Normal 4" xfId="15" xr:uid="{00000000-0005-0000-0000-00000F000000}"/>
    <cellStyle name="Normal 5" xfId="16" xr:uid="{00000000-0005-0000-0000-000010000000}"/>
    <cellStyle name="Normal 6" xfId="17" xr:uid="{00000000-0005-0000-0000-000011000000}"/>
    <cellStyle name="Normal_TZ_R3HIV_Phase_2_21_August_08" xfId="18" xr:uid="{00000000-0005-0000-0000-000012000000}"/>
    <cellStyle name="Percent" xfId="19" builtinId="5"/>
    <cellStyle name="Título 3 3" xfId="20" xr:uid="{00000000-0005-0000-0000-000014000000}"/>
    <cellStyle name="Título 3 3_Prototipo" xfId="21" xr:uid="{00000000-0005-0000-0000-000015000000}"/>
    <cellStyle name="Título 3 3_PrototipoRep1" xfId="22" xr:uid="{00000000-0005-0000-0000-000016000000}"/>
    <cellStyle name="Título 3 7" xfId="23" xr:uid="{00000000-0005-0000-0000-000017000000}"/>
  </cellStyles>
  <dxfs count="42">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layout>
        <c:manualLayout>
          <c:xMode val="edge"/>
          <c:yMode val="edge"/>
          <c:x val="0.46549828178694158"/>
          <c:y val="0.4390243902439024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Calibri"/>
              <a:ea typeface="Calibri"/>
              <a:cs typeface="Calibri"/>
            </a:defRPr>
          </a:pPr>
          <a:endParaRPr lang="en-US"/>
        </a:p>
      </c:txPr>
    </c:title>
    <c:autoTitleDeleted val="0"/>
    <c:plotArea>
      <c:layout>
        <c:manualLayout>
          <c:layoutTarget val="inner"/>
          <c:xMode val="edge"/>
          <c:yMode val="edge"/>
          <c:x val="6.1440741526190806E-2"/>
          <c:y val="0.19565355846324767"/>
          <c:w val="0.86864496640476885"/>
          <c:h val="0.42029282929142131"/>
        </c:manualLayout>
      </c:layout>
      <c:barChart>
        <c:barDir val="bar"/>
        <c:grouping val="percentStacked"/>
        <c:varyColors val="0"/>
        <c:ser>
          <c:idx val="0"/>
          <c:order val="0"/>
          <c:tx>
            <c:strRef>
              <c:f>'Introducerea datelor'!$D$78</c:f>
              <c:strCache>
                <c:ptCount val="1"/>
                <c:pt idx="0">
                  <c:v>6</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dist="35921" dir="2700000" algn="br">
                <a:srgbClr val="000000"/>
              </a:outerShdw>
            </a:effectLst>
            <a:scene3d>
              <a:camera prst="orthographicFront">
                <a:rot lat="0" lon="0" rev="0"/>
              </a:camera>
              <a:lightRig rig="threePt" dir="t">
                <a:rot lat="0" lon="0" rev="1200000"/>
              </a:lightRig>
            </a:scene3d>
            <a:sp3d>
              <a:bevelT w="63500" h="25400"/>
            </a:sp3d>
          </c:spPr>
          <c:invertIfNegative val="0"/>
          <c:val>
            <c:numRef>
              <c:f>'Introducerea datelor'!$D$78:$D$79</c:f>
              <c:numCache>
                <c:formatCode>[$$-409]#,##0_);\([$$-409]#,##0\)</c:formatCode>
                <c:ptCount val="2"/>
                <c:pt idx="0" formatCode="#,##0">
                  <c:v>6</c:v>
                </c:pt>
              </c:numCache>
            </c:numRef>
          </c:val>
          <c:extLst>
            <c:ext xmlns:c16="http://schemas.microsoft.com/office/drawing/2014/chart" uri="{C3380CC4-5D6E-409C-BE32-E72D297353CC}">
              <c16:uniqueId val="{00000000-2C7A-43FD-B9FB-77E18F2F63C8}"/>
            </c:ext>
          </c:extLst>
        </c:ser>
        <c:dLbls>
          <c:showLegendKey val="0"/>
          <c:showVal val="0"/>
          <c:showCatName val="0"/>
          <c:showSerName val="0"/>
          <c:showPercent val="0"/>
          <c:showBubbleSize val="0"/>
        </c:dLbls>
        <c:gapWidth val="79"/>
        <c:overlap val="100"/>
        <c:axId val="178150480"/>
        <c:axId val="178954400"/>
      </c:barChart>
      <c:catAx>
        <c:axId val="178150480"/>
        <c:scaling>
          <c:orientation val="minMax"/>
        </c:scaling>
        <c:delete val="1"/>
        <c:axPos val="l"/>
        <c:numFmt formatCode="General" sourceLinked="1"/>
        <c:majorTickMark val="out"/>
        <c:minorTickMark val="none"/>
        <c:tickLblPos val="none"/>
        <c:crossAx val="178954400"/>
        <c:crosses val="autoZero"/>
        <c:auto val="1"/>
        <c:lblAlgn val="ctr"/>
        <c:lblOffset val="100"/>
        <c:noMultiLvlLbl val="0"/>
      </c:catAx>
      <c:valAx>
        <c:axId val="178954400"/>
        <c:scaling>
          <c:orientation val="minMax"/>
        </c:scaling>
        <c:delete val="0"/>
        <c:axPos val="t"/>
        <c:majorGridlines>
          <c:spPr>
            <a:ln w="3175" cap="flat" cmpd="sng" algn="ctr">
              <a:solidFill>
                <a:srgbClr val="000000"/>
              </a:solidFill>
              <a:prstDash val="solid"/>
              <a:round/>
            </a:ln>
            <a:effectLst/>
          </c:spPr>
        </c:majorGridlines>
        <c:numFmt formatCode="0%" sourceLinked="1"/>
        <c:majorTickMark val="out"/>
        <c:minorTickMark val="none"/>
        <c:tickLblPos val="low"/>
        <c:spPr>
          <a:noFill/>
          <a:ln w="3175"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n-US"/>
          </a:p>
        </c:txPr>
        <c:crossAx val="178150480"/>
        <c:crosses val="max"/>
        <c:crossBetween val="between"/>
      </c:valAx>
      <c:spPr>
        <a:solidFill>
          <a:schemeClr val="bg1"/>
        </a:solidFill>
        <a:ln>
          <a:noFill/>
        </a:ln>
        <a:effectLst/>
      </c:spPr>
    </c:plotArea>
    <c:legend>
      <c:legendPos val="r"/>
      <c:legendEntry>
        <c:idx val="0"/>
        <c:delete val="1"/>
      </c:legendEntry>
      <c:layout>
        <c:manualLayout>
          <c:xMode val="edge"/>
          <c:yMode val="edge"/>
          <c:x val="0.30275211732554053"/>
          <c:y val="0.83656680110108184"/>
          <c:w val="0.19477771464133992"/>
          <c:h val="0.13942769348953335"/>
        </c:manualLayout>
      </c:layout>
      <c:overlay val="0"/>
      <c:spPr>
        <a:noFill/>
        <a:ln w="25400">
          <a:noFill/>
        </a:ln>
        <a:effectLst/>
      </c:spPr>
      <c:txPr>
        <a:bodyPr rot="0" spcFirstLastPara="1" vertOverflow="ellipsis" vert="horz" wrap="square" anchor="ctr" anchorCtr="1"/>
        <a:lstStyle/>
        <a:p>
          <a:pPr>
            <a:defRPr sz="620" b="0" i="0" u="none" strike="noStrike" kern="1200" baseline="0">
              <a:solidFill>
                <a:srgbClr val="000000"/>
              </a:solidFill>
              <a:latin typeface="Calibri"/>
              <a:ea typeface="Calibri"/>
              <a:cs typeface="Calibri"/>
            </a:defRPr>
          </a:pPr>
          <a:endParaRPr lang="en-US"/>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18251347613808"/>
          <c:y val="8.9552612741589155E-2"/>
          <c:w val="0.83314004319329704"/>
          <c:h val="0.65320736566206339"/>
        </c:manualLayout>
      </c:layout>
      <c:barChart>
        <c:barDir val="col"/>
        <c:grouping val="clustered"/>
        <c:varyColors val="0"/>
        <c:ser>
          <c:idx val="0"/>
          <c:order val="0"/>
          <c:tx>
            <c:strRef>
              <c:f>'Introducerea datelor'!$G$120</c:f>
              <c:strCache>
                <c:ptCount val="1"/>
                <c:pt idx="0">
                  <c:v>Ținta</c:v>
                </c:pt>
              </c:strCache>
            </c:strRef>
          </c:tx>
          <c:spPr>
            <a:solidFill>
              <a:srgbClr val="0066CC"/>
            </a:solidFill>
            <a:ln w="25400">
              <a:noFill/>
            </a:ln>
          </c:spPr>
          <c:invertIfNegative val="0"/>
          <c:val>
            <c:numRef>
              <c:f>'Introducerea datelor'!$H$120:$S$120</c:f>
              <c:numCache>
                <c:formatCode>0.0</c:formatCode>
                <c:ptCount val="12"/>
                <c:pt idx="0">
                  <c:v>55</c:v>
                </c:pt>
                <c:pt idx="1">
                  <c:v>55</c:v>
                </c:pt>
                <c:pt idx="2">
                  <c:v>60</c:v>
                </c:pt>
                <c:pt idx="3">
                  <c:v>60</c:v>
                </c:pt>
                <c:pt idx="4">
                  <c:v>65</c:v>
                </c:pt>
              </c:numCache>
            </c:numRef>
          </c:val>
          <c:extLst>
            <c:ext xmlns:c16="http://schemas.microsoft.com/office/drawing/2014/chart" uri="{C3380CC4-5D6E-409C-BE32-E72D297353CC}">
              <c16:uniqueId val="{00000000-866E-4F6B-8290-1FAA0575BA4C}"/>
            </c:ext>
          </c:extLst>
        </c:ser>
        <c:ser>
          <c:idx val="1"/>
          <c:order val="1"/>
          <c:tx>
            <c:strRef>
              <c:f>'Introducerea datelor'!$G$121</c:f>
              <c:strCache>
                <c:ptCount val="1"/>
                <c:pt idx="0">
                  <c:v>Rezultat</c:v>
                </c:pt>
              </c:strCache>
            </c:strRef>
          </c:tx>
          <c:spPr>
            <a:solidFill>
              <a:srgbClr val="00CCFF"/>
            </a:solidFill>
            <a:ln w="12700">
              <a:solidFill>
                <a:srgbClr val="000000"/>
              </a:solidFill>
              <a:prstDash val="solid"/>
            </a:ln>
          </c:spPr>
          <c:invertIfNegative val="0"/>
          <c:val>
            <c:numRef>
              <c:f>'Introducerea datelor'!$H$121:$S$121</c:f>
              <c:numCache>
                <c:formatCode>0.0</c:formatCode>
                <c:ptCount val="12"/>
                <c:pt idx="0" formatCode="0.00">
                  <c:v>59</c:v>
                </c:pt>
                <c:pt idx="1">
                  <c:v>59</c:v>
                </c:pt>
                <c:pt idx="2">
                  <c:v>57.1</c:v>
                </c:pt>
                <c:pt idx="3">
                  <c:v>57.1</c:v>
                </c:pt>
                <c:pt idx="4">
                  <c:v>49.7</c:v>
                </c:pt>
              </c:numCache>
            </c:numRef>
          </c:val>
          <c:extLst>
            <c:ext xmlns:c16="http://schemas.microsoft.com/office/drawing/2014/chart" uri="{C3380CC4-5D6E-409C-BE32-E72D297353CC}">
              <c16:uniqueId val="{00000001-866E-4F6B-8290-1FAA0575BA4C}"/>
            </c:ext>
          </c:extLst>
        </c:ser>
        <c:dLbls>
          <c:showLegendKey val="0"/>
          <c:showVal val="0"/>
          <c:showCatName val="0"/>
          <c:showSerName val="0"/>
          <c:showPercent val="0"/>
          <c:showBubbleSize val="0"/>
        </c:dLbls>
        <c:gapWidth val="150"/>
        <c:axId val="222954368"/>
        <c:axId val="222954760"/>
      </c:barChart>
      <c:catAx>
        <c:axId val="222954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22954760"/>
        <c:crosses val="autoZero"/>
        <c:auto val="1"/>
        <c:lblAlgn val="ctr"/>
        <c:lblOffset val="100"/>
        <c:tickLblSkip val="1"/>
        <c:tickMarkSkip val="1"/>
        <c:noMultiLvlLbl val="0"/>
      </c:catAx>
      <c:valAx>
        <c:axId val="222954760"/>
        <c:scaling>
          <c:orientation val="minMax"/>
          <c:min val="20"/>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22954368"/>
        <c:crosses val="autoZero"/>
        <c:crossBetween val="between"/>
      </c:valAx>
      <c:spPr>
        <a:noFill/>
        <a:ln w="25400">
          <a:noFill/>
        </a:ln>
      </c:spPr>
    </c:plotArea>
    <c:legend>
      <c:legendPos val="r"/>
      <c:layout>
        <c:manualLayout>
          <c:xMode val="edge"/>
          <c:yMode val="edge"/>
          <c:x val="0.18466890563410759"/>
          <c:y val="0.91099498926270572"/>
          <c:w val="0.57491302834457536"/>
          <c:h val="7.329873538534958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29704"/>
          <c:h val="0.65320736566206339"/>
        </c:manualLayout>
      </c:layout>
      <c:barChart>
        <c:barDir val="col"/>
        <c:grouping val="clustered"/>
        <c:varyColors val="0"/>
        <c:ser>
          <c:idx val="0"/>
          <c:order val="0"/>
          <c:tx>
            <c:strRef>
              <c:f>'Introducerea datelor'!$G$115</c:f>
              <c:strCache>
                <c:ptCount val="1"/>
              </c:strCache>
            </c:strRef>
          </c:tx>
          <c:spPr>
            <a:solidFill>
              <a:srgbClr val="0066CC"/>
            </a:solidFill>
            <a:ln w="25400">
              <a:noFill/>
            </a:ln>
          </c:spPr>
          <c:invertIfNegative val="0"/>
          <c:val>
            <c:numRef>
              <c:f>'Introducerea datelor'!$H$115:$S$115</c:f>
              <c:numCache>
                <c:formatCode>"Q"#,##0_);[Red]\("Q"#,##0\)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D2B-4582-9A8A-380B2BFD7F61}"/>
            </c:ext>
          </c:extLst>
        </c:ser>
        <c:ser>
          <c:idx val="1"/>
          <c:order val="1"/>
          <c:tx>
            <c:strRef>
              <c:f>'Introducerea datelor'!$G$116</c:f>
              <c:strCache>
                <c:ptCount val="1"/>
                <c:pt idx="0">
                  <c:v>Ținta</c:v>
                </c:pt>
              </c:strCache>
            </c:strRef>
          </c:tx>
          <c:spPr>
            <a:solidFill>
              <a:srgbClr val="0070C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2-4D2B-4582-9A8A-380B2BFD7F61}"/>
              </c:ext>
            </c:extLst>
          </c:dPt>
          <c:val>
            <c:numRef>
              <c:f>'Introducerea datelor'!$H$116:$S$116</c:f>
              <c:numCache>
                <c:formatCode>0.0</c:formatCode>
                <c:ptCount val="12"/>
                <c:pt idx="0">
                  <c:v>10</c:v>
                </c:pt>
                <c:pt idx="1">
                  <c:v>10</c:v>
                </c:pt>
                <c:pt idx="2">
                  <c:v>9.3000000000000007</c:v>
                </c:pt>
                <c:pt idx="3">
                  <c:v>9.3000000000000007</c:v>
                </c:pt>
                <c:pt idx="4">
                  <c:v>8.6999999999999993</c:v>
                </c:pt>
              </c:numCache>
            </c:numRef>
          </c:val>
          <c:extLst>
            <c:ext xmlns:c16="http://schemas.microsoft.com/office/drawing/2014/chart" uri="{C3380CC4-5D6E-409C-BE32-E72D297353CC}">
              <c16:uniqueId val="{00000003-4D2B-4582-9A8A-380B2BFD7F61}"/>
            </c:ext>
          </c:extLst>
        </c:ser>
        <c:ser>
          <c:idx val="2"/>
          <c:order val="2"/>
          <c:tx>
            <c:strRef>
              <c:f>'Introducerea datelor'!$G$117</c:f>
              <c:strCache>
                <c:ptCount val="1"/>
                <c:pt idx="0">
                  <c:v>Rezultat</c:v>
                </c:pt>
              </c:strCache>
            </c:strRef>
          </c:tx>
          <c:spPr>
            <a:solidFill>
              <a:srgbClr val="00B0F0"/>
            </a:solidFill>
            <a:ln w="12700"/>
          </c:spPr>
          <c:invertIfNegative val="0"/>
          <c:dPt>
            <c:idx val="0"/>
            <c:invertIfNegative val="0"/>
            <c:bubble3D val="0"/>
            <c:spPr>
              <a:solidFill>
                <a:srgbClr val="00B0F0"/>
              </a:solidFill>
              <a:ln w="12700">
                <a:prstDash val="solid"/>
              </a:ln>
            </c:spPr>
            <c:extLst>
              <c:ext xmlns:c16="http://schemas.microsoft.com/office/drawing/2014/chart" uri="{C3380CC4-5D6E-409C-BE32-E72D297353CC}">
                <c16:uniqueId val="{00000005-4D2B-4582-9A8A-380B2BFD7F61}"/>
              </c:ext>
            </c:extLst>
          </c:dPt>
          <c:val>
            <c:numRef>
              <c:f>'Introducerea datelor'!$H$117:$S$117</c:f>
              <c:numCache>
                <c:formatCode>0.0</c:formatCode>
                <c:ptCount val="12"/>
                <c:pt idx="0" formatCode="0.00">
                  <c:v>9.9600000000000009</c:v>
                </c:pt>
                <c:pt idx="1">
                  <c:v>10.130000000000001</c:v>
                </c:pt>
                <c:pt idx="2">
                  <c:v>9.3000000000000007</c:v>
                </c:pt>
                <c:pt idx="3">
                  <c:v>9.1999999999999993</c:v>
                </c:pt>
                <c:pt idx="4">
                  <c:v>7.9</c:v>
                </c:pt>
              </c:numCache>
            </c:numRef>
          </c:val>
          <c:extLst>
            <c:ext xmlns:c16="http://schemas.microsoft.com/office/drawing/2014/chart" uri="{C3380CC4-5D6E-409C-BE32-E72D297353CC}">
              <c16:uniqueId val="{00000006-4D2B-4582-9A8A-380B2BFD7F61}"/>
            </c:ext>
          </c:extLst>
        </c:ser>
        <c:dLbls>
          <c:showLegendKey val="0"/>
          <c:showVal val="0"/>
          <c:showCatName val="0"/>
          <c:showSerName val="0"/>
          <c:showPercent val="0"/>
          <c:showBubbleSize val="0"/>
        </c:dLbls>
        <c:gapWidth val="150"/>
        <c:axId val="222955544"/>
        <c:axId val="222955936"/>
      </c:barChart>
      <c:catAx>
        <c:axId val="222955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22955936"/>
        <c:crosses val="autoZero"/>
        <c:auto val="1"/>
        <c:lblAlgn val="ctr"/>
        <c:lblOffset val="100"/>
        <c:tickLblSkip val="1"/>
        <c:tickMarkSkip val="1"/>
        <c:noMultiLvlLbl val="0"/>
      </c:catAx>
      <c:valAx>
        <c:axId val="22295593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22955544"/>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datelor'!$C$33:$M$33</c:f>
              <c:numCache>
                <c:formatCode>#,##0</c:formatCode>
                <c:ptCount val="11"/>
                <c:pt idx="0">
                  <c:v>1725097.19</c:v>
                </c:pt>
                <c:pt idx="1">
                  <c:v>703324.68</c:v>
                </c:pt>
                <c:pt idx="2">
                  <c:v>1308125.3500000001</c:v>
                </c:pt>
                <c:pt idx="3">
                  <c:v>1031532.02</c:v>
                </c:pt>
                <c:pt idx="4">
                  <c:v>3189747.84</c:v>
                </c:pt>
                <c:pt idx="5">
                  <c:v>0</c:v>
                </c:pt>
                <c:pt idx="6">
                  <c:v>0</c:v>
                </c:pt>
                <c:pt idx="7">
                  <c:v>0</c:v>
                </c:pt>
                <c:pt idx="8">
                  <c:v>0</c:v>
                </c:pt>
                <c:pt idx="9">
                  <c:v>0</c:v>
                </c:pt>
                <c:pt idx="10">
                  <c:v>0</c:v>
                </c:pt>
              </c:numCache>
            </c:numRef>
          </c:val>
          <c:extLst>
            <c:ext xmlns:c16="http://schemas.microsoft.com/office/drawing/2014/chart" uri="{C3380CC4-5D6E-409C-BE32-E72D297353CC}">
              <c16:uniqueId val="{00000000-73F6-427C-8045-4E5D2B1805E3}"/>
            </c:ext>
          </c:extLst>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datelor'!$C$34:$M$34</c:f>
              <c:numCache>
                <c:formatCode>#,##0</c:formatCode>
                <c:ptCount val="11"/>
                <c:pt idx="0">
                  <c:v>2488378</c:v>
                </c:pt>
                <c:pt idx="1">
                  <c:v>3863104</c:v>
                </c:pt>
                <c:pt idx="2">
                  <c:v>4443699</c:v>
                </c:pt>
                <c:pt idx="3">
                  <c:v>5340813</c:v>
                </c:pt>
                <c:pt idx="4">
                  <c:v>7919803.5</c:v>
                </c:pt>
                <c:pt idx="5">
                  <c:v>0</c:v>
                </c:pt>
                <c:pt idx="6">
                  <c:v>0</c:v>
                </c:pt>
                <c:pt idx="7">
                  <c:v>0</c:v>
                </c:pt>
                <c:pt idx="8">
                  <c:v>0</c:v>
                </c:pt>
                <c:pt idx="9">
                  <c:v>0</c:v>
                </c:pt>
                <c:pt idx="10">
                  <c:v>0</c:v>
                </c:pt>
              </c:numCache>
            </c:numRef>
          </c:val>
          <c:extLst>
            <c:ext xmlns:c16="http://schemas.microsoft.com/office/drawing/2014/chart" uri="{C3380CC4-5D6E-409C-BE32-E72D297353CC}">
              <c16:uniqueId val="{00000001-73F6-427C-8045-4E5D2B1805E3}"/>
            </c:ext>
          </c:extLst>
        </c:ser>
        <c:dLbls>
          <c:showLegendKey val="0"/>
          <c:showVal val="0"/>
          <c:showCatName val="0"/>
          <c:showSerName val="0"/>
          <c:showPercent val="0"/>
          <c:showBubbleSize val="0"/>
        </c:dLbls>
        <c:dropLines>
          <c:spPr>
            <a:ln w="3175">
              <a:solidFill>
                <a:srgbClr val="000000"/>
              </a:solidFill>
              <a:prstDash val="solid"/>
            </a:ln>
          </c:spPr>
        </c:dropLines>
        <c:axId val="223054720"/>
        <c:axId val="223055112"/>
      </c:areaChart>
      <c:catAx>
        <c:axId val="223054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223055112"/>
        <c:crosses val="autoZero"/>
        <c:auto val="1"/>
        <c:lblAlgn val="ctr"/>
        <c:lblOffset val="100"/>
        <c:tickLblSkip val="8"/>
        <c:tickMarkSkip val="1"/>
        <c:noMultiLvlLbl val="0"/>
      </c:catAx>
      <c:valAx>
        <c:axId val="223055112"/>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23054720"/>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spPr>
            <a:solidFill>
              <a:schemeClr val="accent3"/>
            </a:solidFill>
            <a:ln>
              <a:noFill/>
            </a:ln>
            <a:effectLst>
              <a:outerShdw dist="35921" dir="2700000" algn="br">
                <a:srgbClr val="000000"/>
              </a:outerShdw>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datelor'!$C$83</c:f>
              <c:numCache>
                <c:formatCode>#,##0</c:formatCode>
                <c:ptCount val="1"/>
                <c:pt idx="0">
                  <c:v>1</c:v>
                </c:pt>
              </c:numCache>
            </c:numRef>
          </c:val>
          <c:extLst>
            <c:ext xmlns:c16="http://schemas.microsoft.com/office/drawing/2014/chart" uri="{C3380CC4-5D6E-409C-BE32-E72D297353CC}">
              <c16:uniqueId val="{00000000-32D2-41E1-8750-812F849F4568}"/>
            </c:ext>
          </c:extLst>
        </c:ser>
        <c:dLbls>
          <c:showLegendKey val="0"/>
          <c:showVal val="0"/>
          <c:showCatName val="0"/>
          <c:showSerName val="0"/>
          <c:showPercent val="0"/>
          <c:showBubbleSize val="0"/>
        </c:dLbls>
        <c:gapWidth val="150"/>
        <c:overlap val="-20"/>
        <c:axId val="222346328"/>
        <c:axId val="222495256"/>
      </c:barChart>
      <c:catAx>
        <c:axId val="222346328"/>
        <c:scaling>
          <c:orientation val="minMax"/>
        </c:scaling>
        <c:delete val="0"/>
        <c:axPos val="b"/>
        <c:majorTickMark val="none"/>
        <c:minorTickMark val="none"/>
        <c:tickLblPos val="none"/>
        <c:spPr>
          <a:noFill/>
          <a:ln w="3175"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222495256"/>
        <c:crosses val="autoZero"/>
        <c:auto val="0"/>
        <c:lblAlgn val="ctr"/>
        <c:lblOffset val="100"/>
        <c:tickMarkSkip val="1"/>
        <c:noMultiLvlLbl val="0"/>
      </c:catAx>
      <c:valAx>
        <c:axId val="222495256"/>
        <c:scaling>
          <c:orientation val="minMax"/>
        </c:scaling>
        <c:delete val="0"/>
        <c:axPos val="l"/>
        <c:numFmt formatCode="#,##0" sourceLinked="1"/>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222346328"/>
        <c:crosses val="autoZero"/>
        <c:crossBetween val="between"/>
      </c:valAx>
      <c:spPr>
        <a:noFill/>
        <a:ln w="25400">
          <a:noFill/>
        </a:ln>
        <a:effectLst/>
      </c:spPr>
    </c:plotArea>
    <c:legend>
      <c:legendPos val="r"/>
      <c:layout>
        <c:manualLayout>
          <c:xMode val="edge"/>
          <c:yMode val="edge"/>
          <c:x val="7.7323741939664972E-2"/>
          <c:y val="0.79538490678355922"/>
          <c:w val="0.85290509056738295"/>
          <c:h val="8.8396244283897502E-2"/>
        </c:manualLayout>
      </c:layout>
      <c:overlay val="0"/>
      <c:spPr>
        <a:noFill/>
        <a:ln w="25400">
          <a:noFill/>
        </a:ln>
        <a:effectLst/>
      </c:spPr>
      <c:txPr>
        <a:bodyPr rot="0" spcFirstLastPara="1" vertOverflow="ellipsis" vert="horz" wrap="square" anchor="ctr" anchorCtr="1"/>
        <a:lstStyle/>
        <a:p>
          <a:pPr>
            <a:defRPr sz="620" b="0" i="0" u="none" strike="noStrike" kern="1200" baseline="0">
              <a:solidFill>
                <a:srgbClr val="000000"/>
              </a:solidFill>
              <a:latin typeface="Arial"/>
              <a:ea typeface="Arial"/>
              <a:cs typeface="Arial"/>
            </a:defRPr>
          </a:pPr>
          <a:endParaRPr lang="en-US"/>
        </a:p>
      </c:txPr>
    </c:legend>
    <c:plotVisOnly val="1"/>
    <c:dispBlanksAs val="gap"/>
    <c:showDLblsOverMax val="0"/>
  </c:chart>
  <c:spPr>
    <a:noFill/>
    <a:ln w="9525" cap="flat" cmpd="sng" algn="ctr">
      <a:noFill/>
      <a:prstDash val="solid"/>
      <a:roun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256292906178489"/>
          <c:y val="5.4421768707482956E-2"/>
          <c:w val="0.67505720823798665"/>
          <c:h val="0.55782312925170052"/>
        </c:manualLayout>
      </c:layout>
      <c:barChart>
        <c:barDir val="bar"/>
        <c:grouping val="percentStacked"/>
        <c:varyColors val="0"/>
        <c:ser>
          <c:idx val="0"/>
          <c:order val="0"/>
          <c:tx>
            <c:strRef>
              <c:f>'Introducerea datelor'!$D$70</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datelor'!$B$71:$B$72</c:f>
              <c:strCache>
                <c:ptCount val="2"/>
                <c:pt idx="0">
                  <c:v>Condiții Precedente (CP)</c:v>
                </c:pt>
                <c:pt idx="1">
                  <c:v>Acțiuni Prestabilite în Timp (TBA)</c:v>
                </c:pt>
              </c:strCache>
            </c:strRef>
          </c:cat>
          <c:val>
            <c:numRef>
              <c:f>'Introducerea datelor'!$D$71:$D$72</c:f>
              <c:numCache>
                <c:formatCode>0</c:formatCode>
                <c:ptCount val="2"/>
                <c:pt idx="0">
                  <c:v>3</c:v>
                </c:pt>
              </c:numCache>
            </c:numRef>
          </c:val>
          <c:extLst>
            <c:ext xmlns:c16="http://schemas.microsoft.com/office/drawing/2014/chart" uri="{C3380CC4-5D6E-409C-BE32-E72D297353CC}">
              <c16:uniqueId val="{00000000-D08E-42FA-87E5-9BAD02454A53}"/>
            </c:ext>
          </c:extLst>
        </c:ser>
        <c:ser>
          <c:idx val="1"/>
          <c:order val="1"/>
          <c:tx>
            <c:strRef>
              <c:f>'Introducerea datelor'!$E$70</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datelor'!$B$71:$B$72</c:f>
              <c:strCache>
                <c:ptCount val="2"/>
                <c:pt idx="0">
                  <c:v>Condiții Precedente (CP)</c:v>
                </c:pt>
                <c:pt idx="1">
                  <c:v>Acțiuni Prestabilite în Timp (TBA)</c:v>
                </c:pt>
              </c:strCache>
            </c:strRef>
          </c:cat>
          <c:val>
            <c:numRef>
              <c:f>'Introducerea datelor'!$E$71:$E$72</c:f>
              <c:numCache>
                <c:formatCode>0</c:formatCode>
                <c:ptCount val="2"/>
              </c:numCache>
            </c:numRef>
          </c:val>
          <c:extLst>
            <c:ext xmlns:c16="http://schemas.microsoft.com/office/drawing/2014/chart" uri="{C3380CC4-5D6E-409C-BE32-E72D297353CC}">
              <c16:uniqueId val="{00000001-D08E-42FA-87E5-9BAD02454A53}"/>
            </c:ext>
          </c:extLst>
        </c:ser>
        <c:ser>
          <c:idx val="2"/>
          <c:order val="2"/>
          <c:tx>
            <c:strRef>
              <c:f>'Introducerea datelor'!$F$70</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datelor'!$B$71:$B$72</c:f>
              <c:strCache>
                <c:ptCount val="2"/>
                <c:pt idx="0">
                  <c:v>Condiții Precedente (CP)</c:v>
                </c:pt>
                <c:pt idx="1">
                  <c:v>Acțiuni Prestabilite în Timp (TBA)</c:v>
                </c:pt>
              </c:strCache>
            </c:strRef>
          </c:cat>
          <c:val>
            <c:numRef>
              <c:f>'Introducerea datelor'!$F$71:$F$72</c:f>
              <c:numCache>
                <c:formatCode>0</c:formatCode>
                <c:ptCount val="2"/>
              </c:numCache>
            </c:numRef>
          </c:val>
          <c:extLst>
            <c:ext xmlns:c16="http://schemas.microsoft.com/office/drawing/2014/chart" uri="{C3380CC4-5D6E-409C-BE32-E72D297353CC}">
              <c16:uniqueId val="{00000002-D08E-42FA-87E5-9BAD02454A53}"/>
            </c:ext>
          </c:extLst>
        </c:ser>
        <c:dLbls>
          <c:showLegendKey val="0"/>
          <c:showVal val="0"/>
          <c:showCatName val="0"/>
          <c:showSerName val="0"/>
          <c:showPercent val="0"/>
          <c:showBubbleSize val="0"/>
        </c:dLbls>
        <c:gapWidth val="70"/>
        <c:overlap val="100"/>
        <c:axId val="222496040"/>
        <c:axId val="222496432"/>
      </c:barChart>
      <c:catAx>
        <c:axId val="2224960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496432"/>
        <c:crosses val="autoZero"/>
        <c:auto val="1"/>
        <c:lblAlgn val="ctr"/>
        <c:lblOffset val="100"/>
        <c:tickLblSkip val="1"/>
        <c:tickMarkSkip val="1"/>
        <c:noMultiLvlLbl val="0"/>
      </c:catAx>
      <c:valAx>
        <c:axId val="222496432"/>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496040"/>
        <c:crosses val="autoZero"/>
        <c:crossBetween val="between"/>
      </c:valAx>
      <c:spPr>
        <a:noFill/>
        <a:ln w="25400">
          <a:noFill/>
        </a:ln>
      </c:spPr>
    </c:plotArea>
    <c:legend>
      <c:legendPos val="r"/>
      <c:layout>
        <c:manualLayout>
          <c:xMode val="edge"/>
          <c:yMode val="edge"/>
          <c:x val="2.7404217493408298E-2"/>
          <c:y val="0.81891549270626884"/>
          <c:w val="0.95229751887421399"/>
          <c:h val="0.16057207134822438"/>
        </c:manualLayout>
      </c:layout>
      <c:overlay val="0"/>
      <c:spPr>
        <a:noFill/>
        <a:ln w="25400">
          <a:noFill/>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8791869184631896"/>
          <c:y val="0.12154728922244371"/>
          <c:w val="0.65390610983753616"/>
          <c:h val="0.5524876782838356"/>
        </c:manualLayout>
      </c:layout>
      <c:barChart>
        <c:barDir val="bar"/>
        <c:grouping val="percentStacked"/>
        <c:varyColors val="0"/>
        <c:ser>
          <c:idx val="1"/>
          <c:order val="0"/>
          <c:tx>
            <c:strRef>
              <c:f>'Introducerea datelor'!$D$87</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datelor'!$B$88:$B$89</c:f>
              <c:strCache>
                <c:ptCount val="2"/>
                <c:pt idx="0">
                  <c:v>SSR către SR</c:v>
                </c:pt>
                <c:pt idx="1">
                  <c:v>SR către RP</c:v>
                </c:pt>
              </c:strCache>
            </c:strRef>
          </c:cat>
          <c:val>
            <c:numRef>
              <c:f>'Introducerea datelor'!$D$88:$D$89</c:f>
              <c:numCache>
                <c:formatCode>0</c:formatCode>
                <c:ptCount val="2"/>
                <c:pt idx="0">
                  <c:v>0</c:v>
                </c:pt>
                <c:pt idx="1">
                  <c:v>3</c:v>
                </c:pt>
              </c:numCache>
            </c:numRef>
          </c:val>
          <c:extLst>
            <c:ext xmlns:c16="http://schemas.microsoft.com/office/drawing/2014/chart" uri="{C3380CC4-5D6E-409C-BE32-E72D297353CC}">
              <c16:uniqueId val="{00000000-0579-471F-8EB0-B16F21AC51C8}"/>
            </c:ext>
          </c:extLst>
        </c:ser>
        <c:ser>
          <c:idx val="2"/>
          <c:order val="1"/>
          <c:tx>
            <c:strRef>
              <c:f>'Introducerea datelor'!$E$87</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datelor'!$B$88:$B$89</c:f>
              <c:strCache>
                <c:ptCount val="2"/>
                <c:pt idx="0">
                  <c:v>SSR către SR</c:v>
                </c:pt>
                <c:pt idx="1">
                  <c:v>SR către RP</c:v>
                </c:pt>
              </c:strCache>
            </c:strRef>
          </c:cat>
          <c:val>
            <c:numRef>
              <c:f>'Introducerea datelor'!$E$88:$E$89</c:f>
              <c:numCache>
                <c:formatCode>#,##0</c:formatCode>
                <c:ptCount val="2"/>
                <c:pt idx="0" formatCode="0">
                  <c:v>0</c:v>
                </c:pt>
                <c:pt idx="1">
                  <c:v>0</c:v>
                </c:pt>
              </c:numCache>
            </c:numRef>
          </c:val>
          <c:extLst>
            <c:ext xmlns:c16="http://schemas.microsoft.com/office/drawing/2014/chart" uri="{C3380CC4-5D6E-409C-BE32-E72D297353CC}">
              <c16:uniqueId val="{00000001-0579-471F-8EB0-B16F21AC51C8}"/>
            </c:ext>
          </c:extLst>
        </c:ser>
        <c:dLbls>
          <c:showLegendKey val="0"/>
          <c:showVal val="0"/>
          <c:showCatName val="0"/>
          <c:showSerName val="0"/>
          <c:showPercent val="0"/>
          <c:showBubbleSize val="0"/>
        </c:dLbls>
        <c:gapWidth val="101"/>
        <c:overlap val="100"/>
        <c:axId val="222497216"/>
        <c:axId val="222497608"/>
      </c:barChart>
      <c:catAx>
        <c:axId val="22249721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22497608"/>
        <c:crosses val="autoZero"/>
        <c:auto val="1"/>
        <c:lblAlgn val="ctr"/>
        <c:lblOffset val="100"/>
        <c:noMultiLvlLbl val="0"/>
      </c:catAx>
      <c:valAx>
        <c:axId val="22249760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22497216"/>
        <c:crosses val="max"/>
        <c:crossBetween val="between"/>
      </c:valAx>
    </c:plotArea>
    <c:legend>
      <c:legendPos val="r"/>
      <c:legendEntry>
        <c:idx val="0"/>
        <c:txPr>
          <a:bodyPr/>
          <a:lstStyle/>
          <a:p>
            <a:pPr>
              <a:defRPr sz="620" b="0" i="0" u="none" strike="noStrike" baseline="0">
                <a:solidFill>
                  <a:srgbClr val="000000"/>
                </a:solidFill>
                <a:latin typeface="Calibri"/>
                <a:ea typeface="Calibri"/>
                <a:cs typeface="Calibri"/>
              </a:defRPr>
            </a:pPr>
            <a:endParaRPr lang="en-US"/>
          </a:p>
        </c:txPr>
      </c:legendEntry>
      <c:legendEntry>
        <c:idx val="1"/>
        <c:txPr>
          <a:bodyPr/>
          <a:lstStyle/>
          <a:p>
            <a:pPr>
              <a:defRPr sz="620" b="0" i="0" u="none" strike="noStrike" baseline="0">
                <a:solidFill>
                  <a:srgbClr val="000000"/>
                </a:solidFill>
                <a:latin typeface="Calibri"/>
                <a:ea typeface="Calibri"/>
                <a:cs typeface="Calibri"/>
              </a:defRPr>
            </a:pPr>
            <a:endParaRPr lang="en-US"/>
          </a:p>
        </c:txPr>
      </c:legendEntry>
      <c:layout>
        <c:manualLayout>
          <c:xMode val="edge"/>
          <c:yMode val="edge"/>
          <c:x val="0.31858431758530192"/>
          <c:y val="0.8001257250251127"/>
          <c:w val="0.35517857142857157"/>
          <c:h val="0.13243446421049224"/>
        </c:manualLayout>
      </c:layout>
      <c:overlay val="0"/>
      <c:spPr>
        <a:noFill/>
        <a:ln w="25400">
          <a:noFill/>
        </a:ln>
      </c:spPr>
      <c:txPr>
        <a:bodyPr/>
        <a:lstStyle/>
        <a:p>
          <a:pPr>
            <a:defRPr sz="6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87"/>
          <c:y val="0.10989010989011004"/>
          <c:w val="0.81094724363350434"/>
          <c:h val="0.54395604395604358"/>
        </c:manualLayout>
      </c:layout>
      <c:lineChart>
        <c:grouping val="standard"/>
        <c:varyColors val="0"/>
        <c:ser>
          <c:idx val="0"/>
          <c:order val="0"/>
          <c:tx>
            <c:strRef>
              <c:f>'Introducerea datelor'!$B$97</c:f>
              <c:strCache>
                <c:ptCount val="1"/>
                <c:pt idx="0">
                  <c:v>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datelor'!$C$97:$N$97</c:f>
              <c:numCache>
                <c:formatCode>#,##0</c:formatCode>
                <c:ptCount val="12"/>
                <c:pt idx="0">
                  <c:v>2475363.62</c:v>
                </c:pt>
                <c:pt idx="1">
                  <c:v>2940729.23</c:v>
                </c:pt>
                <c:pt idx="2">
                  <c:v>3952426.75</c:v>
                </c:pt>
                <c:pt idx="3">
                  <c:v>4749319.49</c:v>
                </c:pt>
                <c:pt idx="4">
                  <c:v>7398576.8000000007</c:v>
                </c:pt>
                <c:pt idx="5">
                  <c:v>7398576.8000000007</c:v>
                </c:pt>
                <c:pt idx="6">
                  <c:v>7398576.8000000007</c:v>
                </c:pt>
                <c:pt idx="7">
                  <c:v>7398576.8000000007</c:v>
                </c:pt>
                <c:pt idx="8">
                  <c:v>7398576.8000000007</c:v>
                </c:pt>
                <c:pt idx="9">
                  <c:v>7398576.8000000007</c:v>
                </c:pt>
                <c:pt idx="10">
                  <c:v>7398576.8000000007</c:v>
                </c:pt>
                <c:pt idx="11">
                  <c:v>7398576.8000000007</c:v>
                </c:pt>
              </c:numCache>
            </c:numRef>
          </c:val>
          <c:smooth val="0"/>
          <c:extLst>
            <c:ext xmlns:c16="http://schemas.microsoft.com/office/drawing/2014/chart" uri="{C3380CC4-5D6E-409C-BE32-E72D297353CC}">
              <c16:uniqueId val="{00000000-C2BB-4102-AC1C-6C02FD33FD2D}"/>
            </c:ext>
          </c:extLst>
        </c:ser>
        <c:ser>
          <c:idx val="1"/>
          <c:order val="1"/>
          <c:tx>
            <c:strRef>
              <c:f>'Introducerea datelor'!$B$98</c:f>
              <c:strCache>
                <c:ptCount val="1"/>
                <c:pt idx="0">
                  <c:v>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datelor'!$C$98:$N$98</c:f>
              <c:numCache>
                <c:formatCode>#,##0</c:formatCode>
                <c:ptCount val="12"/>
                <c:pt idx="0">
                  <c:v>87919.039999999994</c:v>
                </c:pt>
                <c:pt idx="1">
                  <c:v>565154.68000000005</c:v>
                </c:pt>
                <c:pt idx="2">
                  <c:v>1730539.4700000002</c:v>
                </c:pt>
                <c:pt idx="3">
                  <c:v>2407167.42</c:v>
                </c:pt>
                <c:pt idx="4">
                  <c:v>5316420.55</c:v>
                </c:pt>
                <c:pt idx="5">
                  <c:v>5316420.55</c:v>
                </c:pt>
                <c:pt idx="6">
                  <c:v>5316420.55</c:v>
                </c:pt>
                <c:pt idx="7">
                  <c:v>5316420.55</c:v>
                </c:pt>
                <c:pt idx="8">
                  <c:v>5316420.55</c:v>
                </c:pt>
                <c:pt idx="9">
                  <c:v>5316420.55</c:v>
                </c:pt>
                <c:pt idx="10">
                  <c:v>5316420.55</c:v>
                </c:pt>
                <c:pt idx="11">
                  <c:v>5316420.55</c:v>
                </c:pt>
              </c:numCache>
            </c:numRef>
          </c:val>
          <c:smooth val="0"/>
          <c:extLst>
            <c:ext xmlns:c16="http://schemas.microsoft.com/office/drawing/2014/chart" uri="{C3380CC4-5D6E-409C-BE32-E72D297353CC}">
              <c16:uniqueId val="{00000001-C2BB-4102-AC1C-6C02FD33FD2D}"/>
            </c:ext>
          </c:extLst>
        </c:ser>
        <c:ser>
          <c:idx val="2"/>
          <c:order val="2"/>
          <c:tx>
            <c:strRef>
              <c:f>'Introducerea datelor'!$B$99</c:f>
              <c:strCache>
                <c:ptCount val="1"/>
                <c:pt idx="0">
                  <c:v>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datelor'!$C$99:$N$99</c:f>
              <c:numCache>
                <c:formatCode>#,##0</c:formatCode>
                <c:ptCount val="12"/>
                <c:pt idx="0">
                  <c:v>1387405.1</c:v>
                </c:pt>
                <c:pt idx="1">
                  <c:v>1852770.71</c:v>
                </c:pt>
                <c:pt idx="2">
                  <c:v>2864468.23</c:v>
                </c:pt>
                <c:pt idx="3">
                  <c:v>3831076.08</c:v>
                </c:pt>
                <c:pt idx="4">
                  <c:v>6217938.9700000007</c:v>
                </c:pt>
                <c:pt idx="5">
                  <c:v>6217938.9700000007</c:v>
                </c:pt>
                <c:pt idx="6">
                  <c:v>6217938.9700000007</c:v>
                </c:pt>
                <c:pt idx="7">
                  <c:v>6217938.9700000007</c:v>
                </c:pt>
                <c:pt idx="8">
                  <c:v>6217938.9700000007</c:v>
                </c:pt>
                <c:pt idx="9">
                  <c:v>6217938.9700000007</c:v>
                </c:pt>
                <c:pt idx="10">
                  <c:v>6217938.9700000007</c:v>
                </c:pt>
                <c:pt idx="11">
                  <c:v>6217938.9700000007</c:v>
                </c:pt>
              </c:numCache>
            </c:numRef>
          </c:val>
          <c:smooth val="0"/>
          <c:extLst>
            <c:ext xmlns:c16="http://schemas.microsoft.com/office/drawing/2014/chart" uri="{C3380CC4-5D6E-409C-BE32-E72D297353CC}">
              <c16:uniqueId val="{00000002-C2BB-4102-AC1C-6C02FD33FD2D}"/>
            </c:ext>
          </c:extLst>
        </c:ser>
        <c:dLbls>
          <c:showLegendKey val="0"/>
          <c:showVal val="0"/>
          <c:showCatName val="0"/>
          <c:showSerName val="0"/>
          <c:showPercent val="0"/>
          <c:showBubbleSize val="0"/>
        </c:dLbls>
        <c:marker val="1"/>
        <c:smooth val="0"/>
        <c:axId val="222634392"/>
        <c:axId val="222634784"/>
      </c:lineChart>
      <c:catAx>
        <c:axId val="222634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222634784"/>
        <c:crosses val="autoZero"/>
        <c:auto val="1"/>
        <c:lblAlgn val="ctr"/>
        <c:lblOffset val="100"/>
        <c:tickLblSkip val="1"/>
        <c:tickMarkSkip val="1"/>
        <c:noMultiLvlLbl val="0"/>
      </c:catAx>
      <c:valAx>
        <c:axId val="22263478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222634392"/>
        <c:crosses val="autoZero"/>
        <c:crossBetween val="between"/>
      </c:valAx>
      <c:spPr>
        <a:solidFill>
          <a:srgbClr val="FFFFFF"/>
        </a:solidFill>
        <a:ln w="12700">
          <a:solidFill>
            <a:srgbClr val="808080"/>
          </a:solidFill>
          <a:prstDash val="solid"/>
        </a:ln>
      </c:spPr>
    </c:plotArea>
    <c:legend>
      <c:legendPos val="r"/>
      <c:layout>
        <c:manualLayout>
          <c:xMode val="edge"/>
          <c:yMode val="edge"/>
          <c:x val="6.7108497293917671E-2"/>
          <c:y val="0.74047715945619164"/>
          <c:w val="0.92212083911347342"/>
          <c:h val="0.17890707481789497"/>
        </c:manualLayout>
      </c:layout>
      <c:overlay val="0"/>
      <c:spPr>
        <a:noFill/>
        <a:ln w="25400">
          <a:noFill/>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416"/>
        </c:manualLayout>
      </c:layout>
      <c:barChart>
        <c:barDir val="col"/>
        <c:grouping val="clustered"/>
        <c:varyColors val="0"/>
        <c:ser>
          <c:idx val="0"/>
          <c:order val="0"/>
          <c:tx>
            <c:strRef>
              <c:f>'Introducerea datelor'!$B$33</c:f>
              <c:strCache>
                <c:ptCount val="1"/>
                <c:pt idx="0">
                  <c:v>Buget Cumulativ</c:v>
                </c:pt>
              </c:strCache>
            </c:strRef>
          </c:tx>
          <c:spPr>
            <a:solidFill>
              <a:schemeClr val="accent2">
                <a:lumMod val="40000"/>
                <a:lumOff val="60000"/>
              </a:schemeClr>
            </a:solidFill>
            <a:ln w="3175">
              <a:solidFill>
                <a:srgbClr val="000000"/>
              </a:solidFill>
              <a:prstDash val="solid"/>
            </a:ln>
            <a:effectLst>
              <a:outerShdw blurRad="63500" dist="38100" dir="2700000" algn="br">
                <a:srgbClr val="000000"/>
              </a:outerShdw>
            </a:effectLst>
          </c:spPr>
          <c:invertIfNegative val="0"/>
          <c:val>
            <c:numRef>
              <c:f>'Introducerea datelor'!$C$33:$N$33</c:f>
              <c:numCache>
                <c:formatCode>#,##0</c:formatCode>
                <c:ptCount val="12"/>
                <c:pt idx="0">
                  <c:v>1725097.19</c:v>
                </c:pt>
                <c:pt idx="1">
                  <c:v>703324.68</c:v>
                </c:pt>
                <c:pt idx="2">
                  <c:v>1308125.3500000001</c:v>
                </c:pt>
                <c:pt idx="3">
                  <c:v>1031532.02</c:v>
                </c:pt>
                <c:pt idx="4">
                  <c:v>3189747.84</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4D1-4152-9514-D67916FCE0A9}"/>
            </c:ext>
          </c:extLst>
        </c:ser>
        <c:ser>
          <c:idx val="1"/>
          <c:order val="1"/>
          <c:tx>
            <c:strRef>
              <c:f>'Introducerea datelor'!$B$34</c:f>
              <c:strCache>
                <c:ptCount val="1"/>
                <c:pt idx="0">
                  <c:v>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'Introducerea datelor'!$C$34:$N$34</c:f>
              <c:numCache>
                <c:formatCode>#,##0</c:formatCode>
                <c:ptCount val="12"/>
                <c:pt idx="0">
                  <c:v>2488378</c:v>
                </c:pt>
                <c:pt idx="1">
                  <c:v>3863104</c:v>
                </c:pt>
                <c:pt idx="2">
                  <c:v>4443699</c:v>
                </c:pt>
                <c:pt idx="3">
                  <c:v>5340813</c:v>
                </c:pt>
                <c:pt idx="4">
                  <c:v>7919803.5</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4D1-4152-9514-D67916FCE0A9}"/>
            </c:ext>
          </c:extLst>
        </c:ser>
        <c:dLbls>
          <c:showLegendKey val="0"/>
          <c:showVal val="0"/>
          <c:showCatName val="0"/>
          <c:showSerName val="0"/>
          <c:showPercent val="0"/>
          <c:showBubbleSize val="0"/>
        </c:dLbls>
        <c:gapWidth val="70"/>
        <c:axId val="222635568"/>
        <c:axId val="222635960"/>
      </c:barChart>
      <c:catAx>
        <c:axId val="222635568"/>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2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222635960"/>
        <c:crosses val="autoZero"/>
        <c:auto val="1"/>
        <c:lblAlgn val="ctr"/>
        <c:lblOffset val="100"/>
        <c:tickLblSkip val="1"/>
        <c:tickMarkSkip val="1"/>
        <c:noMultiLvlLbl val="0"/>
      </c:catAx>
      <c:valAx>
        <c:axId val="2226359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222635568"/>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20" b="0" i="0" u="none" strike="noStrike" baseline="0">
                <a:solidFill>
                  <a:srgbClr val="000000"/>
                </a:solidFill>
                <a:latin typeface="Arial"/>
                <a:ea typeface="Arial"/>
                <a:cs typeface="Arial"/>
              </a:defRPr>
            </a:pPr>
            <a:endParaRPr lang="en-US"/>
          </a:p>
        </c:txPr>
      </c:legendEntry>
      <c:legendEntry>
        <c:idx val="1"/>
        <c:txPr>
          <a:bodyPr/>
          <a:lstStyle/>
          <a:p>
            <a:pPr>
              <a:defRPr sz="620" b="0" i="0" u="none" strike="noStrike" baseline="0">
                <a:solidFill>
                  <a:srgbClr val="000000"/>
                </a:solidFill>
                <a:latin typeface="Arial"/>
                <a:ea typeface="Arial"/>
                <a:cs typeface="Arial"/>
              </a:defRPr>
            </a:pPr>
            <a:endParaRPr lang="en-US"/>
          </a:p>
        </c:txPr>
      </c:legendEntry>
      <c:layout>
        <c:manualLayout>
          <c:xMode val="edge"/>
          <c:yMode val="edge"/>
          <c:x val="0.141649833037886"/>
          <c:y val="0.87772925764192167"/>
          <c:w val="0.84727597531983923"/>
          <c:h val="0.10480349344978168"/>
        </c:manualLayout>
      </c:layout>
      <c:overlay val="0"/>
      <c:spPr>
        <a:solidFill>
          <a:srgbClr val="FFFFFF"/>
        </a:solidFill>
        <a:ln w="3175">
          <a:solidFill>
            <a:srgbClr val="000000"/>
          </a:solidFill>
          <a:prstDash val="solid"/>
        </a:ln>
      </c:spPr>
      <c:txPr>
        <a:bodyPr/>
        <a:lstStyle/>
        <a:p>
          <a:pPr>
            <a:defRPr sz="44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4548273983362867"/>
          <c:y val="7.5694006617564286E-2"/>
          <c:w val="0.74366824572258583"/>
          <c:h val="0.58032078788797015"/>
        </c:manualLayout>
      </c:layout>
      <c:barChart>
        <c:barDir val="col"/>
        <c:grouping val="stacked"/>
        <c:varyColors val="0"/>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datelor'!$B$51:$B$54</c:f>
              <c:strCache>
                <c:ptCount val="4"/>
                <c:pt idx="0">
                  <c:v>Debursat de către Fondul Global</c:v>
                </c:pt>
                <c:pt idx="1">
                  <c:v>Cheltuielile și debursările RP </c:v>
                </c:pt>
                <c:pt idx="2">
                  <c:v>Debursări către SR</c:v>
                </c:pt>
                <c:pt idx="3">
                  <c:v>Cheltuielile SR</c:v>
                </c:pt>
              </c:strCache>
            </c:strRef>
          </c:cat>
          <c:val>
            <c:numRef>
              <c:f>'Introducerea datelor'!$C$51:$C$54</c:f>
              <c:numCache>
                <c:formatCode>#,##0</c:formatCode>
                <c:ptCount val="4"/>
                <c:pt idx="0">
                  <c:v>5340813</c:v>
                </c:pt>
                <c:pt idx="1">
                  <c:v>4723303.0199999996</c:v>
                </c:pt>
                <c:pt idx="2">
                  <c:v>121020.79</c:v>
                </c:pt>
                <c:pt idx="3">
                  <c:v>103779.32</c:v>
                </c:pt>
              </c:numCache>
            </c:numRef>
          </c:val>
          <c:extLst>
            <c:ext xmlns:c16="http://schemas.microsoft.com/office/drawing/2014/chart" uri="{C3380CC4-5D6E-409C-BE32-E72D297353CC}">
              <c16:uniqueId val="{00000000-C369-4708-87A9-A84FC531C4BE}"/>
            </c:ext>
          </c:extLst>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datelor'!$B$51:$B$54</c:f>
              <c:strCache>
                <c:ptCount val="4"/>
                <c:pt idx="0">
                  <c:v>Debursat de către Fondul Global</c:v>
                </c:pt>
                <c:pt idx="1">
                  <c:v>Cheltuielile și debursările RP </c:v>
                </c:pt>
                <c:pt idx="2">
                  <c:v>Debursări către SR</c:v>
                </c:pt>
                <c:pt idx="3">
                  <c:v>Cheltuielile SR</c:v>
                </c:pt>
              </c:strCache>
            </c:strRef>
          </c:cat>
          <c:val>
            <c:numRef>
              <c:f>'Introducerea datelor'!$D$51:$D$54</c:f>
              <c:numCache>
                <c:formatCode>#,##0.00</c:formatCode>
                <c:ptCount val="4"/>
                <c:pt idx="0" formatCode="#,##0">
                  <c:v>2578990.5</c:v>
                </c:pt>
                <c:pt idx="1">
                  <c:v>2758833.41</c:v>
                </c:pt>
                <c:pt idx="2" formatCode="#,##0">
                  <c:v>27636.720000000001</c:v>
                </c:pt>
                <c:pt idx="3" formatCode="#,##0">
                  <c:v>36960.769999999997</c:v>
                </c:pt>
              </c:numCache>
            </c:numRef>
          </c:val>
          <c:extLst>
            <c:ext xmlns:c16="http://schemas.microsoft.com/office/drawing/2014/chart" uri="{C3380CC4-5D6E-409C-BE32-E72D297353CC}">
              <c16:uniqueId val="{00000001-C369-4708-87A9-A84FC531C4BE}"/>
            </c:ext>
          </c:extLst>
        </c:ser>
        <c:dLbls>
          <c:showLegendKey val="0"/>
          <c:showVal val="0"/>
          <c:showCatName val="0"/>
          <c:showSerName val="0"/>
          <c:showPercent val="0"/>
          <c:showBubbleSize val="0"/>
        </c:dLbls>
        <c:gapWidth val="150"/>
        <c:overlap val="100"/>
        <c:axId val="222633608"/>
        <c:axId val="222633216"/>
      </c:barChart>
      <c:catAx>
        <c:axId val="22263360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22633216"/>
        <c:crossesAt val="0"/>
        <c:auto val="1"/>
        <c:lblAlgn val="ctr"/>
        <c:lblOffset val="100"/>
        <c:noMultiLvlLbl val="0"/>
      </c:catAx>
      <c:valAx>
        <c:axId val="222633216"/>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222633608"/>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75"/>
          <c:y val="5.4825991939292121E-2"/>
          <c:w val="0.84029484029484192"/>
          <c:h val="0.57374537387847457"/>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'Introducerea datelor'!$B$39:$B$42</c:f>
              <c:strCache>
                <c:ptCount val="4"/>
                <c:pt idx="0">
                  <c:v>Asigurarea accesului universal la diagnosticul la timp şi de calitate al tuturor formelor de tuberculoză, inclusiv al celor cu TB-M/EDR</c:v>
                </c:pt>
                <c:pt idx="1">
                  <c:v>Asigurarea accesului universal la tratamentul calitativ al tuturor formelor de tuberculoză, inclusiv al celor cu TB-M/EDR</c:v>
                </c:pt>
                <c:pt idx="2">
                  <c:v>Consolidarea managementului, coordonării, monitorizării și evaluării Programului Național de control al tuberculozei</c:v>
                </c:pt>
                <c:pt idx="3">
                  <c:v>Fortificarea managementului Programului</c:v>
                </c:pt>
              </c:strCache>
            </c:strRef>
          </c:cat>
          <c:val>
            <c:numRef>
              <c:f>'Introducerea datelor'!$C$39:$C$42</c:f>
              <c:numCache>
                <c:formatCode>#,##0.00</c:formatCode>
                <c:ptCount val="4"/>
                <c:pt idx="0">
                  <c:v>2935429.52</c:v>
                </c:pt>
                <c:pt idx="1">
                  <c:v>4305986.92</c:v>
                </c:pt>
                <c:pt idx="2">
                  <c:v>275154.03999999998</c:v>
                </c:pt>
                <c:pt idx="3">
                  <c:v>441256.6</c:v>
                </c:pt>
              </c:numCache>
            </c:numRef>
          </c:val>
          <c:extLst>
            <c:ext xmlns:c16="http://schemas.microsoft.com/office/drawing/2014/chart" uri="{C3380CC4-5D6E-409C-BE32-E72D297353CC}">
              <c16:uniqueId val="{00000000-508A-4635-A6E2-88ADAD0856AB}"/>
            </c:ext>
          </c:extLst>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'Introducerea datelor'!$B$39:$B$42</c:f>
              <c:strCache>
                <c:ptCount val="4"/>
                <c:pt idx="0">
                  <c:v>Asigurarea accesului universal la diagnosticul la timp şi de calitate al tuturor formelor de tuberculoză, inclusiv al celor cu TB-M/EDR</c:v>
                </c:pt>
                <c:pt idx="1">
                  <c:v>Asigurarea accesului universal la tratamentul calitativ al tuturor formelor de tuberculoză, inclusiv al celor cu TB-M/EDR</c:v>
                </c:pt>
                <c:pt idx="2">
                  <c:v>Consolidarea managementului, coordonării, monitorizării și evaluării Programului Național de control al tuberculozei</c:v>
                </c:pt>
                <c:pt idx="3">
                  <c:v>Fortificarea managementului Programului</c:v>
                </c:pt>
              </c:strCache>
            </c:strRef>
          </c:cat>
          <c:val>
            <c:numRef>
              <c:f>'Introducerea datelor'!$D$39:$D$42</c:f>
              <c:numCache>
                <c:formatCode>#,##0.00</c:formatCode>
                <c:ptCount val="4"/>
                <c:pt idx="0">
                  <c:v>2750565.91</c:v>
                </c:pt>
                <c:pt idx="1">
                  <c:v>4026737.65</c:v>
                </c:pt>
                <c:pt idx="2">
                  <c:v>229937.58</c:v>
                </c:pt>
                <c:pt idx="3">
                  <c:v>447509.94</c:v>
                </c:pt>
              </c:numCache>
            </c:numRef>
          </c:val>
          <c:extLst>
            <c:ext xmlns:c16="http://schemas.microsoft.com/office/drawing/2014/chart" uri="{C3380CC4-5D6E-409C-BE32-E72D297353CC}">
              <c16:uniqueId val="{00000001-508A-4635-A6E2-88ADAD0856AB}"/>
            </c:ext>
          </c:extLst>
        </c:ser>
        <c:dLbls>
          <c:showLegendKey val="0"/>
          <c:showVal val="0"/>
          <c:showCatName val="0"/>
          <c:showSerName val="0"/>
          <c:showPercent val="0"/>
          <c:showBubbleSize val="0"/>
        </c:dLbls>
        <c:gapWidth val="150"/>
        <c:axId val="222498392"/>
        <c:axId val="222952408"/>
      </c:barChart>
      <c:catAx>
        <c:axId val="222498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222952408"/>
        <c:crosses val="autoZero"/>
        <c:auto val="1"/>
        <c:lblAlgn val="ctr"/>
        <c:lblOffset val="100"/>
        <c:tickMarkSkip val="1"/>
        <c:noMultiLvlLbl val="0"/>
      </c:catAx>
      <c:valAx>
        <c:axId val="2229524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222498392"/>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77135069654741E-2"/>
          <c:y val="8.9552577813665157E-2"/>
          <c:w val="0.83314004319329704"/>
          <c:h val="0.65320736566206339"/>
        </c:manualLayout>
      </c:layout>
      <c:barChart>
        <c:barDir val="col"/>
        <c:grouping val="clustered"/>
        <c:varyColors val="0"/>
        <c:ser>
          <c:idx val="0"/>
          <c:order val="0"/>
          <c:tx>
            <c:strRef>
              <c:f>'Introducerea datelor'!$G$118</c:f>
              <c:strCache>
                <c:ptCount val="1"/>
                <c:pt idx="0">
                  <c:v>Ținta</c:v>
                </c:pt>
              </c:strCache>
            </c:strRef>
          </c:tx>
          <c:spPr>
            <a:solidFill>
              <a:srgbClr val="0066CC"/>
            </a:solidFill>
            <a:ln w="25400">
              <a:noFill/>
            </a:ln>
          </c:spPr>
          <c:invertIfNegative val="0"/>
          <c:cat>
            <c:strRef>
              <c:f>'Introducerea datelor'!$H$115:$S$115</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datelor'!$H$118:$S$118</c:f>
              <c:numCache>
                <c:formatCode>0.0</c:formatCode>
                <c:ptCount val="12"/>
                <c:pt idx="0">
                  <c:v>22</c:v>
                </c:pt>
                <c:pt idx="1">
                  <c:v>22</c:v>
                </c:pt>
                <c:pt idx="2">
                  <c:v>21.5</c:v>
                </c:pt>
                <c:pt idx="3">
                  <c:v>21.5</c:v>
                </c:pt>
                <c:pt idx="4">
                  <c:v>20.5</c:v>
                </c:pt>
              </c:numCache>
            </c:numRef>
          </c:val>
          <c:extLst>
            <c:ext xmlns:c16="http://schemas.microsoft.com/office/drawing/2014/chart" uri="{C3380CC4-5D6E-409C-BE32-E72D297353CC}">
              <c16:uniqueId val="{00000000-791A-4C17-AD1C-CF3323FDD685}"/>
            </c:ext>
          </c:extLst>
        </c:ser>
        <c:ser>
          <c:idx val="1"/>
          <c:order val="1"/>
          <c:tx>
            <c:strRef>
              <c:f>'Introducerea datelor'!$G$119</c:f>
              <c:strCache>
                <c:ptCount val="1"/>
                <c:pt idx="0">
                  <c:v>Rezultat</c:v>
                </c:pt>
              </c:strCache>
            </c:strRef>
          </c:tx>
          <c:spPr>
            <a:solidFill>
              <a:srgbClr val="00CCFF"/>
            </a:solidFill>
            <a:ln w="12700">
              <a:solidFill>
                <a:srgbClr val="000000"/>
              </a:solidFill>
              <a:prstDash val="solid"/>
            </a:ln>
          </c:spPr>
          <c:invertIfNegative val="0"/>
          <c:cat>
            <c:strRef>
              <c:f>'Introducerea datelor'!$H$115:$S$115</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datelor'!$H$119:$S$119</c:f>
              <c:numCache>
                <c:formatCode>0.0</c:formatCode>
                <c:ptCount val="12"/>
                <c:pt idx="0">
                  <c:v>27.2</c:v>
                </c:pt>
                <c:pt idx="1">
                  <c:v>25.3</c:v>
                </c:pt>
                <c:pt idx="2">
                  <c:v>24.9</c:v>
                </c:pt>
                <c:pt idx="3">
                  <c:v>26.1</c:v>
                </c:pt>
                <c:pt idx="4">
                  <c:v>24.4</c:v>
                </c:pt>
              </c:numCache>
            </c:numRef>
          </c:val>
          <c:extLst>
            <c:ext xmlns:c16="http://schemas.microsoft.com/office/drawing/2014/chart" uri="{C3380CC4-5D6E-409C-BE32-E72D297353CC}">
              <c16:uniqueId val="{00000001-791A-4C17-AD1C-CF3323FDD685}"/>
            </c:ext>
          </c:extLst>
        </c:ser>
        <c:dLbls>
          <c:showLegendKey val="0"/>
          <c:showVal val="0"/>
          <c:showCatName val="0"/>
          <c:showSerName val="0"/>
          <c:showPercent val="0"/>
          <c:showBubbleSize val="0"/>
        </c:dLbls>
        <c:gapWidth val="150"/>
        <c:axId val="222634000"/>
        <c:axId val="222953584"/>
      </c:barChart>
      <c:catAx>
        <c:axId val="222634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22953584"/>
        <c:crosses val="autoZero"/>
        <c:auto val="1"/>
        <c:lblAlgn val="ctr"/>
        <c:lblOffset val="100"/>
        <c:tickLblSkip val="1"/>
        <c:tickMarkSkip val="1"/>
        <c:noMultiLvlLbl val="0"/>
      </c:catAx>
      <c:valAx>
        <c:axId val="22295358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22634000"/>
        <c:crosses val="autoZero"/>
        <c:crossBetween val="between"/>
      </c:valAx>
      <c:spPr>
        <a:noFill/>
        <a:ln w="25400">
          <a:noFill/>
        </a:ln>
      </c:spPr>
    </c:plotArea>
    <c:legend>
      <c:legendPos val="r"/>
      <c:layout>
        <c:manualLayout>
          <c:xMode val="edge"/>
          <c:yMode val="edge"/>
          <c:x val="0.17957720988847514"/>
          <c:y val="0.91191949072664258"/>
          <c:w val="0.58098600490823116"/>
          <c:h val="7.253897130262033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126">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tx1"/>
    </cs:fontRef>
  </cs:dataPoint>
  <cs:dataPoint3D>
    <cs:lnRef idx="0"/>
    <cs:fillRef idx="3">
      <cs:styleClr val="auto"/>
    </cs:fillRef>
    <cs:effectRef idx="3">
      <a:schemeClr val="dk1"/>
    </cs:effectRef>
    <cs:fontRef idx="minor">
      <a:schemeClr val="tx1"/>
    </cs:fontRef>
  </cs:dataPoint3D>
  <cs:dataPointLine>
    <cs:lnRef idx="1">
      <cs:styleClr val="auto"/>
    </cs:lnRef>
    <cs:lineWidthScale>7</cs:lineWidthScale>
    <cs:fillRef idx="0"/>
    <cs:effectRef idx="0"/>
    <cs:fontRef idx="minor">
      <a:schemeClr val="tx1"/>
    </cs:fontRef>
    <cs:spPr>
      <a:ln cap="rnd">
        <a:round/>
      </a:ln>
    </cs:spPr>
  </cs:dataPointLine>
  <cs:dataPointMarker>
    <cs:lnRef idx="1">
      <cs:styleClr val="auto"/>
    </cs:lnRef>
    <cs:fillRef idx="3">
      <cs:styleClr val="auto"/>
    </cs:fillRef>
    <cs:effectRef idx="3">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3">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3">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8" Type="http://schemas.openxmlformats.org/officeDocument/2006/relationships/hyperlink" Target="#Actions!A1"/><Relationship Id="rId13" Type="http://schemas.openxmlformats.org/officeDocument/2006/relationships/image" Target="../media/image4.png"/><Relationship Id="rId3" Type="http://schemas.openxmlformats.org/officeDocument/2006/relationships/hyperlink" Target="#Management!Print_Area"/><Relationship Id="rId7" Type="http://schemas.openxmlformats.org/officeDocument/2006/relationships/hyperlink" Target="#Actiuni!R1C1"/><Relationship Id="rId12"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andari!R1C1"/><Relationship Id="rId11" Type="http://schemas.openxmlformats.org/officeDocument/2006/relationships/hyperlink" Target="#'Introducerea datelor'!R1C1"/><Relationship Id="rId5" Type="http://schemas.openxmlformats.org/officeDocument/2006/relationships/hyperlink" Target="#Programatic!R1C1"/><Relationship Id="rId10" Type="http://schemas.openxmlformats.org/officeDocument/2006/relationships/hyperlink" Target="#'Lista Indicatorilor'!R1C1"/><Relationship Id="rId4" Type="http://schemas.openxmlformats.org/officeDocument/2006/relationships/hyperlink" Target="#Financiar!R1C1"/><Relationship Id="rId9" Type="http://schemas.openxmlformats.org/officeDocument/2006/relationships/hyperlink" Target="#'Detail despre Grant'!R1C1"/><Relationship Id="rId14" Type="http://schemas.openxmlformats.org/officeDocument/2006/relationships/image" Target="../media/image5.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iu!R1C1"/></Relationships>
</file>

<file path=xl/drawings/_rels/drawing3.xml.rels><?xml version="1.0" encoding="UTF-8" standalone="yes"?>
<Relationships xmlns="http://schemas.openxmlformats.org/package/2006/relationships"><Relationship Id="rId1" Type="http://schemas.openxmlformats.org/officeDocument/2006/relationships/hyperlink" Target="#Meniu!R1C1"/></Relationships>
</file>

<file path=xl/drawings/_rels/drawing4.xml.rels><?xml version="1.0" encoding="UTF-8" standalone="yes"?>
<Relationships xmlns="http://schemas.openxmlformats.org/package/2006/relationships"><Relationship Id="rId2" Type="http://schemas.openxmlformats.org/officeDocument/2006/relationships/hyperlink" Target="#Meniu!R1C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Meniu!R1C1"/><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hyperlink" Target="#Meniu!R1C1"/><Relationship Id="rId1" Type="http://schemas.openxmlformats.org/officeDocument/2006/relationships/chart" Target="../charts/chart6.xml"/><Relationship Id="rId6" Type="http://schemas.openxmlformats.org/officeDocument/2006/relationships/image" Target="../media/image7.png"/><Relationship Id="rId5" Type="http://schemas.openxmlformats.org/officeDocument/2006/relationships/chart" Target="../charts/chart8.xml"/><Relationship Id="rId4"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iu!R1C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iu!R1C1"/></Relationships>
</file>

<file path=xl/drawings/_rels/drawing9.xml.rels><?xml version="1.0" encoding="UTF-8" standalone="yes"?>
<Relationships xmlns="http://schemas.openxmlformats.org/package/2006/relationships"><Relationship Id="rId2" Type="http://schemas.openxmlformats.org/officeDocument/2006/relationships/hyperlink" Target="#Meniu!R1C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2800246" name="Picture 2">
          <a:extLst>
            <a:ext uri="{FF2B5EF4-FFF2-40B4-BE49-F238E27FC236}">
              <a16:creationId xmlns:a16="http://schemas.microsoft.com/office/drawing/2014/main" id="{00000000-0008-0000-0000-000076BA2A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38100" y="1381125"/>
          <a:ext cx="7648575"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2800247" name="Picture 824">
          <a:extLst>
            <a:ext uri="{FF2B5EF4-FFF2-40B4-BE49-F238E27FC236}">
              <a16:creationId xmlns:a16="http://schemas.microsoft.com/office/drawing/2014/main" id="{00000000-0008-0000-0000-000077BA2A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2800248" name="AutoShape 27">
          <a:extLst>
            <a:ext uri="{FF2B5EF4-FFF2-40B4-BE49-F238E27FC236}">
              <a16:creationId xmlns:a16="http://schemas.microsoft.com/office/drawing/2014/main" id="{00000000-0008-0000-0000-000078BA2A00}"/>
            </a:ext>
          </a:extLst>
        </xdr:cNvPr>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2800249" name="Group 25">
          <a:hlinkClick xmlns:r="http://schemas.openxmlformats.org/officeDocument/2006/relationships" r:id="rId3"/>
          <a:extLst>
            <a:ext uri="{FF2B5EF4-FFF2-40B4-BE49-F238E27FC236}">
              <a16:creationId xmlns:a16="http://schemas.microsoft.com/office/drawing/2014/main" id="{00000000-0008-0000-0000-000079BA2A00}"/>
            </a:ext>
          </a:extLst>
        </xdr:cNvPr>
        <xdr:cNvGrpSpPr>
          <a:grpSpLocks/>
        </xdr:cNvGrpSpPr>
      </xdr:nvGrpSpPr>
      <xdr:grpSpPr bwMode="auto">
        <a:xfrm>
          <a:off x="3413125" y="2436813"/>
          <a:ext cx="1009650" cy="371475"/>
          <a:chOff x="1200" y="1912"/>
          <a:chExt cx="3456" cy="774"/>
        </a:xfrm>
      </xdr:grpSpPr>
      <xdr:sp macro="" textlink="">
        <xdr:nvSpPr>
          <xdr:cNvPr id="2800293" name="AutoShape 26">
            <a:extLst>
              <a:ext uri="{FF2B5EF4-FFF2-40B4-BE49-F238E27FC236}">
                <a16:creationId xmlns:a16="http://schemas.microsoft.com/office/drawing/2014/main" id="{00000000-0008-0000-0000-0000A5BA2A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2" name="AutoShape 27">
            <a:hlinkClick xmlns:r="http://schemas.openxmlformats.org/officeDocument/2006/relationships" r:id="rId4"/>
            <a:extLst>
              <a:ext uri="{FF2B5EF4-FFF2-40B4-BE49-F238E27FC236}">
                <a16:creationId xmlns:a16="http://schemas.microsoft.com/office/drawing/2014/main" id="{00000000-0008-0000-0000-000016000000}"/>
              </a:ext>
            </a:extLst>
          </xdr:cNvPr>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2800250" name="Group 25">
          <a:hlinkClick xmlns:r="http://schemas.openxmlformats.org/officeDocument/2006/relationships" r:id="rId5"/>
          <a:extLst>
            <a:ext uri="{FF2B5EF4-FFF2-40B4-BE49-F238E27FC236}">
              <a16:creationId xmlns:a16="http://schemas.microsoft.com/office/drawing/2014/main" id="{00000000-0008-0000-0000-00007ABA2A00}"/>
            </a:ext>
          </a:extLst>
        </xdr:cNvPr>
        <xdr:cNvGrpSpPr>
          <a:grpSpLocks/>
        </xdr:cNvGrpSpPr>
      </xdr:nvGrpSpPr>
      <xdr:grpSpPr bwMode="auto">
        <a:xfrm>
          <a:off x="3451225" y="3513138"/>
          <a:ext cx="1066800" cy="371475"/>
          <a:chOff x="1200" y="1912"/>
          <a:chExt cx="3456" cy="774"/>
        </a:xfrm>
      </xdr:grpSpPr>
      <xdr:sp macro="" textlink="">
        <xdr:nvSpPr>
          <xdr:cNvPr id="2800290" name="AutoShape 26">
            <a:extLst>
              <a:ext uri="{FF2B5EF4-FFF2-40B4-BE49-F238E27FC236}">
                <a16:creationId xmlns:a16="http://schemas.microsoft.com/office/drawing/2014/main" id="{00000000-0008-0000-0000-0000A2BA2A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6" name="AutoShape 27">
            <a:extLst>
              <a:ext uri="{FF2B5EF4-FFF2-40B4-BE49-F238E27FC236}">
                <a16:creationId xmlns:a16="http://schemas.microsoft.com/office/drawing/2014/main" id="{00000000-0008-0000-0000-00001A000000}"/>
              </a:ext>
            </a:extLst>
          </xdr:cNvPr>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2800251" name="Group 25">
          <a:hlinkClick xmlns:r="http://schemas.openxmlformats.org/officeDocument/2006/relationships" r:id="rId4"/>
          <a:extLst>
            <a:ext uri="{FF2B5EF4-FFF2-40B4-BE49-F238E27FC236}">
              <a16:creationId xmlns:a16="http://schemas.microsoft.com/office/drawing/2014/main" id="{00000000-0008-0000-0000-00007BBA2A00}"/>
            </a:ext>
          </a:extLst>
        </xdr:cNvPr>
        <xdr:cNvGrpSpPr>
          <a:grpSpLocks/>
        </xdr:cNvGrpSpPr>
      </xdr:nvGrpSpPr>
      <xdr:grpSpPr bwMode="auto">
        <a:xfrm>
          <a:off x="3413125" y="2970213"/>
          <a:ext cx="1066800" cy="371475"/>
          <a:chOff x="1200" y="1912"/>
          <a:chExt cx="3456" cy="774"/>
        </a:xfrm>
      </xdr:grpSpPr>
      <xdr:sp macro="" textlink="">
        <xdr:nvSpPr>
          <xdr:cNvPr id="2800287" name="AutoShape 26">
            <a:extLst>
              <a:ext uri="{FF2B5EF4-FFF2-40B4-BE49-F238E27FC236}">
                <a16:creationId xmlns:a16="http://schemas.microsoft.com/office/drawing/2014/main" id="{00000000-0008-0000-0000-00009FBA2A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07941" name="AutoShape 27">
            <a:extLst>
              <a:ext uri="{FF2B5EF4-FFF2-40B4-BE49-F238E27FC236}">
                <a16:creationId xmlns:a16="http://schemas.microsoft.com/office/drawing/2014/main" id="{00000000-0008-0000-0000-0000452C0300}"/>
              </a:ext>
            </a:extLst>
          </xdr:cNvPr>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a:extLst>
            <a:ext uri="{FF2B5EF4-FFF2-40B4-BE49-F238E27FC236}">
              <a16:creationId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2800253" name="Group 832">
          <a:hlinkClick xmlns:r="http://schemas.openxmlformats.org/officeDocument/2006/relationships" r:id="rId6"/>
          <a:extLst>
            <a:ext uri="{FF2B5EF4-FFF2-40B4-BE49-F238E27FC236}">
              <a16:creationId xmlns:a16="http://schemas.microsoft.com/office/drawing/2014/main" id="{00000000-0008-0000-0000-00007DBA2A00}"/>
            </a:ext>
          </a:extLst>
        </xdr:cNvPr>
        <xdr:cNvGrpSpPr>
          <a:grpSpLocks/>
        </xdr:cNvGrpSpPr>
      </xdr:nvGrpSpPr>
      <xdr:grpSpPr bwMode="auto">
        <a:xfrm>
          <a:off x="5708650" y="2579688"/>
          <a:ext cx="1501775" cy="409575"/>
          <a:chOff x="599" y="262"/>
          <a:chExt cx="158" cy="43"/>
        </a:xfrm>
      </xdr:grpSpPr>
      <xdr:sp macro="" textlink="">
        <xdr:nvSpPr>
          <xdr:cNvPr id="2800283" name="AutoShape 30">
            <a:extLst>
              <a:ext uri="{FF2B5EF4-FFF2-40B4-BE49-F238E27FC236}">
                <a16:creationId xmlns:a16="http://schemas.microsoft.com/office/drawing/2014/main" id="{00000000-0008-0000-0000-00009BBA2A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84" name="13 Grupo">
            <a:extLst>
              <a:ext uri="{FF2B5EF4-FFF2-40B4-BE49-F238E27FC236}">
                <a16:creationId xmlns:a16="http://schemas.microsoft.com/office/drawing/2014/main" id="{00000000-0008-0000-0000-00009CBA2A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id="{00000000-0008-0000-0000-000027130000}"/>
                </a:ext>
              </a:extLst>
            </xdr:cNvPr>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2800286" name="Freeform 32">
              <a:extLst>
                <a:ext uri="{FF2B5EF4-FFF2-40B4-BE49-F238E27FC236}">
                  <a16:creationId xmlns:a16="http://schemas.microsoft.com/office/drawing/2014/main" id="{00000000-0008-0000-0000-00009EBA2A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2800254" name="Group 830">
          <a:extLst>
            <a:ext uri="{FF2B5EF4-FFF2-40B4-BE49-F238E27FC236}">
              <a16:creationId xmlns:a16="http://schemas.microsoft.com/office/drawing/2014/main" id="{00000000-0008-0000-0000-00007EBA2A00}"/>
            </a:ext>
          </a:extLst>
        </xdr:cNvPr>
        <xdr:cNvGrpSpPr>
          <a:grpSpLocks/>
        </xdr:cNvGrpSpPr>
      </xdr:nvGrpSpPr>
      <xdr:grpSpPr bwMode="auto">
        <a:xfrm>
          <a:off x="327025" y="1903413"/>
          <a:ext cx="2143125" cy="2124075"/>
          <a:chOff x="32" y="188"/>
          <a:chExt cx="225" cy="225"/>
        </a:xfrm>
      </xdr:grpSpPr>
      <xdr:sp macro="" textlink="">
        <xdr:nvSpPr>
          <xdr:cNvPr id="2800281" name="AutoShape 31">
            <a:extLst>
              <a:ext uri="{FF2B5EF4-FFF2-40B4-BE49-F238E27FC236}">
                <a16:creationId xmlns:a16="http://schemas.microsoft.com/office/drawing/2014/main" id="{00000000-0008-0000-0000-000099BA2A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2800255" name="Group 826">
          <a:hlinkClick xmlns:r="http://schemas.openxmlformats.org/officeDocument/2006/relationships" r:id="rId7"/>
          <a:extLst>
            <a:ext uri="{FF2B5EF4-FFF2-40B4-BE49-F238E27FC236}">
              <a16:creationId xmlns:a16="http://schemas.microsoft.com/office/drawing/2014/main" id="{00000000-0008-0000-0000-00007FBA2A00}"/>
            </a:ext>
          </a:extLst>
        </xdr:cNvPr>
        <xdr:cNvGrpSpPr>
          <a:grpSpLocks/>
        </xdr:cNvGrpSpPr>
      </xdr:nvGrpSpPr>
      <xdr:grpSpPr bwMode="auto">
        <a:xfrm>
          <a:off x="5699125" y="3208338"/>
          <a:ext cx="1501775" cy="409575"/>
          <a:chOff x="578" y="328"/>
          <a:chExt cx="158" cy="43"/>
        </a:xfrm>
      </xdr:grpSpPr>
      <xdr:sp macro="" textlink="">
        <xdr:nvSpPr>
          <xdr:cNvPr id="2800277" name="AutoShape 30">
            <a:extLst>
              <a:ext uri="{FF2B5EF4-FFF2-40B4-BE49-F238E27FC236}">
                <a16:creationId xmlns:a16="http://schemas.microsoft.com/office/drawing/2014/main" id="{00000000-0008-0000-0000-000095BA2A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8" name="Group 823">
            <a:extLst>
              <a:ext uri="{FF2B5EF4-FFF2-40B4-BE49-F238E27FC236}">
                <a16:creationId xmlns:a16="http://schemas.microsoft.com/office/drawing/2014/main" id="{00000000-0008-0000-0000-000096BA2A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8"/>
              <a:extLst>
                <a:ext uri="{FF2B5EF4-FFF2-40B4-BE49-F238E27FC236}">
                  <a16:creationId xmlns:a16="http://schemas.microsoft.com/office/drawing/2014/main" id="{00000000-0008-0000-0000-00002C130000}"/>
                </a:ext>
              </a:extLst>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2800280" name="Freeform 32">
              <a:extLst>
                <a:ext uri="{FF2B5EF4-FFF2-40B4-BE49-F238E27FC236}">
                  <a16:creationId xmlns:a16="http://schemas.microsoft.com/office/drawing/2014/main" id="{00000000-0008-0000-0000-000098BA2A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2800256" name="Group 831">
          <a:hlinkClick xmlns:r="http://schemas.openxmlformats.org/officeDocument/2006/relationships" r:id="rId9"/>
          <a:extLst>
            <a:ext uri="{FF2B5EF4-FFF2-40B4-BE49-F238E27FC236}">
              <a16:creationId xmlns:a16="http://schemas.microsoft.com/office/drawing/2014/main" id="{00000000-0008-0000-0000-000080BA2A00}"/>
            </a:ext>
          </a:extLst>
        </xdr:cNvPr>
        <xdr:cNvGrpSpPr>
          <a:grpSpLocks/>
        </xdr:cNvGrpSpPr>
      </xdr:nvGrpSpPr>
      <xdr:grpSpPr bwMode="auto">
        <a:xfrm>
          <a:off x="593725" y="3475038"/>
          <a:ext cx="1504950" cy="342900"/>
          <a:chOff x="56" y="259"/>
          <a:chExt cx="158" cy="40"/>
        </a:xfrm>
      </xdr:grpSpPr>
      <xdr:sp macro="" textlink="">
        <xdr:nvSpPr>
          <xdr:cNvPr id="2800273" name="AutoShape 30">
            <a:extLst>
              <a:ext uri="{FF2B5EF4-FFF2-40B4-BE49-F238E27FC236}">
                <a16:creationId xmlns:a16="http://schemas.microsoft.com/office/drawing/2014/main" id="{00000000-0008-0000-0000-000091BA2A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4" name="11 Grupo">
            <a:extLst>
              <a:ext uri="{FF2B5EF4-FFF2-40B4-BE49-F238E27FC236}">
                <a16:creationId xmlns:a16="http://schemas.microsoft.com/office/drawing/2014/main" id="{00000000-0008-0000-0000-000092BA2A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id="{00000000-0008-0000-0000-000009000000}"/>
                </a:ext>
              </a:extLst>
            </xdr:cNvPr>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2800257" name="37 Grupo">
          <a:hlinkClick xmlns:r="http://schemas.openxmlformats.org/officeDocument/2006/relationships" r:id="rId10"/>
          <a:extLst>
            <a:ext uri="{FF2B5EF4-FFF2-40B4-BE49-F238E27FC236}">
              <a16:creationId xmlns:a16="http://schemas.microsoft.com/office/drawing/2014/main" id="{00000000-0008-0000-0000-000081BA2A00}"/>
            </a:ext>
          </a:extLst>
        </xdr:cNvPr>
        <xdr:cNvGrpSpPr>
          <a:grpSpLocks/>
        </xdr:cNvGrpSpPr>
      </xdr:nvGrpSpPr>
      <xdr:grpSpPr bwMode="auto">
        <a:xfrm>
          <a:off x="593725" y="2417763"/>
          <a:ext cx="1504950" cy="371475"/>
          <a:chOff x="1343025" y="2428876"/>
          <a:chExt cx="3240982" cy="617274"/>
        </a:xfrm>
      </xdr:grpSpPr>
      <xdr:sp macro="" textlink="">
        <xdr:nvSpPr>
          <xdr:cNvPr id="2800269" name="AutoShape 30">
            <a:extLst>
              <a:ext uri="{FF2B5EF4-FFF2-40B4-BE49-F238E27FC236}">
                <a16:creationId xmlns:a16="http://schemas.microsoft.com/office/drawing/2014/main" id="{00000000-0008-0000-0000-00008DBA2A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0" name="13 Grupo">
            <a:extLst>
              <a:ext uri="{FF2B5EF4-FFF2-40B4-BE49-F238E27FC236}">
                <a16:creationId xmlns:a16="http://schemas.microsoft.com/office/drawing/2014/main" id="{00000000-0008-0000-0000-00008EBA2A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2800258" name="37 Grupo">
          <a:hlinkClick xmlns:r="http://schemas.openxmlformats.org/officeDocument/2006/relationships" r:id="rId11"/>
          <a:extLst>
            <a:ext uri="{FF2B5EF4-FFF2-40B4-BE49-F238E27FC236}">
              <a16:creationId xmlns:a16="http://schemas.microsoft.com/office/drawing/2014/main" id="{00000000-0008-0000-0000-000082BA2A00}"/>
            </a:ext>
          </a:extLst>
        </xdr:cNvPr>
        <xdr:cNvGrpSpPr>
          <a:grpSpLocks/>
        </xdr:cNvGrpSpPr>
      </xdr:nvGrpSpPr>
      <xdr:grpSpPr bwMode="auto">
        <a:xfrm>
          <a:off x="593725" y="2951163"/>
          <a:ext cx="1504950" cy="371475"/>
          <a:chOff x="1343025" y="2428876"/>
          <a:chExt cx="3240982" cy="617274"/>
        </a:xfrm>
      </xdr:grpSpPr>
      <xdr:sp macro="" textlink="">
        <xdr:nvSpPr>
          <xdr:cNvPr id="2800265" name="AutoShape 30">
            <a:extLst>
              <a:ext uri="{FF2B5EF4-FFF2-40B4-BE49-F238E27FC236}">
                <a16:creationId xmlns:a16="http://schemas.microsoft.com/office/drawing/2014/main" id="{00000000-0008-0000-0000-000089BA2A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66" name="13 Grupo">
            <a:extLst>
              <a:ext uri="{FF2B5EF4-FFF2-40B4-BE49-F238E27FC236}">
                <a16:creationId xmlns:a16="http://schemas.microsoft.com/office/drawing/2014/main" id="{00000000-0008-0000-0000-00008ABA2A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id="{00000000-0008-0000-0000-00000E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2800259" name="Picture 2012">
          <a:extLst>
            <a:ext uri="{FF2B5EF4-FFF2-40B4-BE49-F238E27FC236}">
              <a16:creationId xmlns:a16="http://schemas.microsoft.com/office/drawing/2014/main" id="{00000000-0008-0000-0000-000083BA2A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2800261" name="Picture 2016">
          <a:extLst>
            <a:ext uri="{FF2B5EF4-FFF2-40B4-BE49-F238E27FC236}">
              <a16:creationId xmlns:a16="http://schemas.microsoft.com/office/drawing/2014/main" id="{00000000-0008-0000-0000-000085BA2A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2800263" name="Picture 2018">
          <a:extLst>
            <a:ext uri="{FF2B5EF4-FFF2-40B4-BE49-F238E27FC236}">
              <a16:creationId xmlns:a16="http://schemas.microsoft.com/office/drawing/2014/main" id="{00000000-0008-0000-0000-000087BA2A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27887" name="Picture 2" descr="C:\Documents and Settings\Administrator\My Documents\My Pictures\Prueba.jpg">
          <a:extLst>
            <a:ext uri="{FF2B5EF4-FFF2-40B4-BE49-F238E27FC236}">
              <a16:creationId xmlns:a16="http://schemas.microsoft.com/office/drawing/2014/main" id="{00000000-0008-0000-0900-0000EF6C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533400</xdr:colOff>
      <xdr:row>8</xdr:row>
      <xdr:rowOff>95250</xdr:rowOff>
    </xdr:from>
    <xdr:to>
      <xdr:col>11</xdr:col>
      <xdr:colOff>885825</xdr:colOff>
      <xdr:row>14</xdr:row>
      <xdr:rowOff>190500</xdr:rowOff>
    </xdr:to>
    <xdr:graphicFrame macro="">
      <xdr:nvGraphicFramePr>
        <xdr:cNvPr id="2125205" name="Chart 1034">
          <a:extLst>
            <a:ext uri="{FF2B5EF4-FFF2-40B4-BE49-F238E27FC236}">
              <a16:creationId xmlns:a16="http://schemas.microsoft.com/office/drawing/2014/main" id="{00000000-0008-0000-0400-000095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190500</xdr:colOff>
      <xdr:row>16</xdr:row>
      <xdr:rowOff>47625</xdr:rowOff>
    </xdr:from>
    <xdr:to>
      <xdr:col>5</xdr:col>
      <xdr:colOff>885825</xdr:colOff>
      <xdr:row>25</xdr:row>
      <xdr:rowOff>180975</xdr:rowOff>
    </xdr:to>
    <xdr:graphicFrame macro="">
      <xdr:nvGraphicFramePr>
        <xdr:cNvPr id="2125206" name="Chart 1039">
          <a:extLst>
            <a:ext uri="{FF2B5EF4-FFF2-40B4-BE49-F238E27FC236}">
              <a16:creationId xmlns:a16="http://schemas.microsoft.com/office/drawing/2014/main" id="{00000000-0008-0000-0400-000096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161925</xdr:colOff>
      <xdr:row>8</xdr:row>
      <xdr:rowOff>142875</xdr:rowOff>
    </xdr:from>
    <xdr:to>
      <xdr:col>6</xdr:col>
      <xdr:colOff>28575</xdr:colOff>
      <xdr:row>14</xdr:row>
      <xdr:rowOff>76200</xdr:rowOff>
    </xdr:to>
    <xdr:graphicFrame macro="">
      <xdr:nvGraphicFramePr>
        <xdr:cNvPr id="2125207" name="Chart 1046">
          <a:extLst>
            <a:ext uri="{FF2B5EF4-FFF2-40B4-BE49-F238E27FC236}">
              <a16:creationId xmlns:a16="http://schemas.microsoft.com/office/drawing/2014/main" id="{00000000-0008-0000-0400-000097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16</xdr:row>
      <xdr:rowOff>57150</xdr:rowOff>
    </xdr:from>
    <xdr:to>
      <xdr:col>11</xdr:col>
      <xdr:colOff>914400</xdr:colOff>
      <xdr:row>24</xdr:row>
      <xdr:rowOff>76200</xdr:rowOff>
    </xdr:to>
    <xdr:graphicFrame macro="">
      <xdr:nvGraphicFramePr>
        <xdr:cNvPr id="2125208" name="Chart 1054">
          <a:extLst>
            <a:ext uri="{FF2B5EF4-FFF2-40B4-BE49-F238E27FC236}">
              <a16:creationId xmlns:a16="http://schemas.microsoft.com/office/drawing/2014/main" id="{00000000-0008-0000-0400-000098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161925</xdr:colOff>
      <xdr:row>27</xdr:row>
      <xdr:rowOff>142875</xdr:rowOff>
    </xdr:from>
    <xdr:to>
      <xdr:col>5</xdr:col>
      <xdr:colOff>838200</xdr:colOff>
      <xdr:row>33</xdr:row>
      <xdr:rowOff>114300</xdr:rowOff>
    </xdr:to>
    <xdr:graphicFrame macro="">
      <xdr:nvGraphicFramePr>
        <xdr:cNvPr id="2125209" name="Chart 1091">
          <a:extLst>
            <a:ext uri="{FF2B5EF4-FFF2-40B4-BE49-F238E27FC236}">
              <a16:creationId xmlns:a16="http://schemas.microsoft.com/office/drawing/2014/main" id="{00000000-0008-0000-0400-000099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id="{00000000-0008-0000-04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1591153" name="Chart 32">
          <a:extLst>
            <a:ext uri="{FF2B5EF4-FFF2-40B4-BE49-F238E27FC236}">
              <a16:creationId xmlns:a16="http://schemas.microsoft.com/office/drawing/2014/main" id="{00000000-0008-0000-0500-00007147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5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7</xdr:col>
      <xdr:colOff>12010</xdr:colOff>
      <xdr:row>9</xdr:row>
      <xdr:rowOff>85725</xdr:rowOff>
    </xdr:from>
    <xdr:to>
      <xdr:col>10</xdr:col>
      <xdr:colOff>764071</xdr:colOff>
      <xdr:row>20</xdr:row>
      <xdr:rowOff>38100</xdr:rowOff>
    </xdr:to>
    <xdr:grpSp>
      <xdr:nvGrpSpPr>
        <xdr:cNvPr id="1591155" name="Group 489">
          <a:extLst>
            <a:ext uri="{FF2B5EF4-FFF2-40B4-BE49-F238E27FC236}">
              <a16:creationId xmlns:a16="http://schemas.microsoft.com/office/drawing/2014/main" id="{00000000-0008-0000-0500-000073471800}"/>
            </a:ext>
          </a:extLst>
        </xdr:cNvPr>
        <xdr:cNvGrpSpPr>
          <a:grpSpLocks/>
        </xdr:cNvGrpSpPr>
      </xdr:nvGrpSpPr>
      <xdr:grpSpPr bwMode="auto">
        <a:xfrm>
          <a:off x="4145032" y="5800725"/>
          <a:ext cx="3228561" cy="2047875"/>
          <a:chOff x="414" y="213"/>
          <a:chExt cx="366" cy="250"/>
        </a:xfrm>
      </xdr:grpSpPr>
      <xdr:graphicFrame macro="">
        <xdr:nvGraphicFramePr>
          <xdr:cNvPr id="1591159" name="Chart 31">
            <a:extLst>
              <a:ext uri="{FF2B5EF4-FFF2-40B4-BE49-F238E27FC236}">
                <a16:creationId xmlns:a16="http://schemas.microsoft.com/office/drawing/2014/main" id="{00000000-0008-0000-0500-000077471800}"/>
              </a:ext>
            </a:extLst>
          </xdr:cNvPr>
          <xdr:cNvGraphicFramePr>
            <a:graphicFrameLocks/>
          </xdr:cNvGraphicFramePr>
        </xdr:nvGraphicFramePr>
        <xdr:xfrm>
          <a:off x="414" y="213"/>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1591160" name="Picture 477" descr="one">
            <a:extLst>
              <a:ext uri="{FF2B5EF4-FFF2-40B4-BE49-F238E27FC236}">
                <a16:creationId xmlns:a16="http://schemas.microsoft.com/office/drawing/2014/main" id="{00000000-0008-0000-0500-00007847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6" y="441"/>
            <a:ext cx="297"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85725</xdr:rowOff>
    </xdr:from>
    <xdr:to>
      <xdr:col>6</xdr:col>
      <xdr:colOff>85725</xdr:colOff>
      <xdr:row>32</xdr:row>
      <xdr:rowOff>66675</xdr:rowOff>
    </xdr:to>
    <xdr:grpSp>
      <xdr:nvGrpSpPr>
        <xdr:cNvPr id="1591156" name="Group 490">
          <a:extLst>
            <a:ext uri="{FF2B5EF4-FFF2-40B4-BE49-F238E27FC236}">
              <a16:creationId xmlns:a16="http://schemas.microsoft.com/office/drawing/2014/main" id="{00000000-0008-0000-0500-000074471800}"/>
            </a:ext>
          </a:extLst>
        </xdr:cNvPr>
        <xdr:cNvGrpSpPr>
          <a:grpSpLocks/>
        </xdr:cNvGrpSpPr>
      </xdr:nvGrpSpPr>
      <xdr:grpSpPr bwMode="auto">
        <a:xfrm>
          <a:off x="0" y="11615116"/>
          <a:ext cx="3961986" cy="2374624"/>
          <a:chOff x="0" y="505"/>
          <a:chExt cx="407" cy="255"/>
        </a:xfrm>
      </xdr:grpSpPr>
      <xdr:graphicFrame macro="">
        <xdr:nvGraphicFramePr>
          <xdr:cNvPr id="1591157" name="Chart 34">
            <a:extLst>
              <a:ext uri="{FF2B5EF4-FFF2-40B4-BE49-F238E27FC236}">
                <a16:creationId xmlns:a16="http://schemas.microsoft.com/office/drawing/2014/main" id="{00000000-0008-0000-0500-0000754718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1591158" name="Picture 487" descr="ok">
            <a:extLst>
              <a:ext uri="{FF2B5EF4-FFF2-40B4-BE49-F238E27FC236}">
                <a16:creationId xmlns:a16="http://schemas.microsoft.com/office/drawing/2014/main" id="{00000000-0008-0000-0500-0000764718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6" y="738"/>
            <a:ext cx="259"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209550</xdr:colOff>
      <xdr:row>9</xdr:row>
      <xdr:rowOff>47625</xdr:rowOff>
    </xdr:from>
    <xdr:to>
      <xdr:col>10</xdr:col>
      <xdr:colOff>600075</xdr:colOff>
      <xdr:row>16</xdr:row>
      <xdr:rowOff>104775</xdr:rowOff>
    </xdr:to>
    <xdr:graphicFrame macro="">
      <xdr:nvGraphicFramePr>
        <xdr:cNvPr id="21433" name="Chart 33">
          <a:extLst>
            <a:ext uri="{FF2B5EF4-FFF2-40B4-BE49-F238E27FC236}">
              <a16:creationId xmlns:a16="http://schemas.microsoft.com/office/drawing/2014/main" id="{00000000-0008-0000-0600-0000B9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619125</xdr:colOff>
      <xdr:row>9</xdr:row>
      <xdr:rowOff>85725</xdr:rowOff>
    </xdr:from>
    <xdr:to>
      <xdr:col>16</xdr:col>
      <xdr:colOff>752475</xdr:colOff>
      <xdr:row>16</xdr:row>
      <xdr:rowOff>95250</xdr:rowOff>
    </xdr:to>
    <xdr:graphicFrame macro="">
      <xdr:nvGraphicFramePr>
        <xdr:cNvPr id="21435" name="Chart 488">
          <a:extLst>
            <a:ext uri="{FF2B5EF4-FFF2-40B4-BE49-F238E27FC236}">
              <a16:creationId xmlns:a16="http://schemas.microsoft.com/office/drawing/2014/main" id="{00000000-0008-0000-0600-0000BB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542925</xdr:colOff>
      <xdr:row>9</xdr:row>
      <xdr:rowOff>19050</xdr:rowOff>
    </xdr:from>
    <xdr:to>
      <xdr:col>4</xdr:col>
      <xdr:colOff>276225</xdr:colOff>
      <xdr:row>16</xdr:row>
      <xdr:rowOff>9525</xdr:rowOff>
    </xdr:to>
    <xdr:graphicFrame macro="">
      <xdr:nvGraphicFramePr>
        <xdr:cNvPr id="21436" name="Chart 553">
          <a:extLst>
            <a:ext uri="{FF2B5EF4-FFF2-40B4-BE49-F238E27FC236}">
              <a16:creationId xmlns:a16="http://schemas.microsoft.com/office/drawing/2014/main" id="{00000000-0008-0000-0600-0000BC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2514391" name="Group 41">
          <a:extLst>
            <a:ext uri="{FF2B5EF4-FFF2-40B4-BE49-F238E27FC236}">
              <a16:creationId xmlns:a16="http://schemas.microsoft.com/office/drawing/2014/main" id="{00000000-0008-0000-0700-0000D75D2600}"/>
            </a:ext>
          </a:extLst>
        </xdr:cNvPr>
        <xdr:cNvGrpSpPr>
          <a:grpSpLocks/>
        </xdr:cNvGrpSpPr>
      </xdr:nvGrpSpPr>
      <xdr:grpSpPr bwMode="auto">
        <a:xfrm>
          <a:off x="7226300" y="12090400"/>
          <a:ext cx="85725" cy="0"/>
          <a:chOff x="595" y="540"/>
          <a:chExt cx="9" cy="9"/>
        </a:xfrm>
      </xdr:grpSpPr>
      <xdr:sp macro="" textlink="">
        <xdr:nvSpPr>
          <xdr:cNvPr id="2514402" name="Rectangle 11">
            <a:extLst>
              <a:ext uri="{FF2B5EF4-FFF2-40B4-BE49-F238E27FC236}">
                <a16:creationId xmlns:a16="http://schemas.microsoft.com/office/drawing/2014/main" id="{00000000-0008-0000-0700-0000E25D26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3" name="Arc 12">
            <a:extLst>
              <a:ext uri="{FF2B5EF4-FFF2-40B4-BE49-F238E27FC236}">
                <a16:creationId xmlns:a16="http://schemas.microsoft.com/office/drawing/2014/main" id="{00000000-0008-0000-0700-0000E35D26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8</xdr:col>
      <xdr:colOff>981075</xdr:colOff>
      <xdr:row>20</xdr:row>
      <xdr:rowOff>0</xdr:rowOff>
    </xdr:from>
    <xdr:to>
      <xdr:col>9</xdr:col>
      <xdr:colOff>9525</xdr:colOff>
      <xdr:row>20</xdr:row>
      <xdr:rowOff>0</xdr:rowOff>
    </xdr:to>
    <xdr:grpSp>
      <xdr:nvGrpSpPr>
        <xdr:cNvPr id="2514392" name="Group 44">
          <a:extLst>
            <a:ext uri="{FF2B5EF4-FFF2-40B4-BE49-F238E27FC236}">
              <a16:creationId xmlns:a16="http://schemas.microsoft.com/office/drawing/2014/main" id="{00000000-0008-0000-0700-0000D85D2600}"/>
            </a:ext>
          </a:extLst>
        </xdr:cNvPr>
        <xdr:cNvGrpSpPr>
          <a:grpSpLocks/>
        </xdr:cNvGrpSpPr>
      </xdr:nvGrpSpPr>
      <xdr:grpSpPr bwMode="auto">
        <a:xfrm>
          <a:off x="8207375" y="12090400"/>
          <a:ext cx="82550" cy="0"/>
          <a:chOff x="698" y="540"/>
          <a:chExt cx="9" cy="9"/>
        </a:xfrm>
      </xdr:grpSpPr>
      <xdr:sp macro="" textlink="">
        <xdr:nvSpPr>
          <xdr:cNvPr id="2514400" name="Rectangle 47">
            <a:extLst>
              <a:ext uri="{FF2B5EF4-FFF2-40B4-BE49-F238E27FC236}">
                <a16:creationId xmlns:a16="http://schemas.microsoft.com/office/drawing/2014/main" id="{00000000-0008-0000-0700-0000E05D26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1" name="Arc 48">
            <a:extLst>
              <a:ext uri="{FF2B5EF4-FFF2-40B4-BE49-F238E27FC236}">
                <a16:creationId xmlns:a16="http://schemas.microsoft.com/office/drawing/2014/main" id="{00000000-0008-0000-0700-0000E15D26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781050</xdr:colOff>
      <xdr:row>20</xdr:row>
      <xdr:rowOff>0</xdr:rowOff>
    </xdr:from>
    <xdr:to>
      <xdr:col>7</xdr:col>
      <xdr:colOff>0</xdr:colOff>
      <xdr:row>20</xdr:row>
      <xdr:rowOff>0</xdr:rowOff>
    </xdr:to>
    <xdr:grpSp>
      <xdr:nvGrpSpPr>
        <xdr:cNvPr id="2514393" name="Group 47">
          <a:extLst>
            <a:ext uri="{FF2B5EF4-FFF2-40B4-BE49-F238E27FC236}">
              <a16:creationId xmlns:a16="http://schemas.microsoft.com/office/drawing/2014/main" id="{00000000-0008-0000-0700-0000D95D2600}"/>
            </a:ext>
          </a:extLst>
        </xdr:cNvPr>
        <xdr:cNvGrpSpPr>
          <a:grpSpLocks/>
        </xdr:cNvGrpSpPr>
      </xdr:nvGrpSpPr>
      <xdr:grpSpPr bwMode="auto">
        <a:xfrm>
          <a:off x="5175250" y="12090400"/>
          <a:ext cx="1758950" cy="0"/>
          <a:chOff x="698" y="540"/>
          <a:chExt cx="9" cy="9"/>
        </a:xfrm>
      </xdr:grpSpPr>
      <xdr:sp macro="" textlink="">
        <xdr:nvSpPr>
          <xdr:cNvPr id="2514398" name="Rectangle 47">
            <a:extLst>
              <a:ext uri="{FF2B5EF4-FFF2-40B4-BE49-F238E27FC236}">
                <a16:creationId xmlns:a16="http://schemas.microsoft.com/office/drawing/2014/main" id="{00000000-0008-0000-0700-0000DE5D26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9" name="Arc 48">
            <a:extLst>
              <a:ext uri="{FF2B5EF4-FFF2-40B4-BE49-F238E27FC236}">
                <a16:creationId xmlns:a16="http://schemas.microsoft.com/office/drawing/2014/main" id="{00000000-0008-0000-0700-0000DF5D26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0</xdr:colOff>
      <xdr:row>20</xdr:row>
      <xdr:rowOff>0</xdr:rowOff>
    </xdr:from>
    <xdr:to>
      <xdr:col>3</xdr:col>
      <xdr:colOff>85725</xdr:colOff>
      <xdr:row>20</xdr:row>
      <xdr:rowOff>0</xdr:rowOff>
    </xdr:to>
    <xdr:grpSp>
      <xdr:nvGrpSpPr>
        <xdr:cNvPr id="2514394" name="Group 50">
          <a:extLst>
            <a:ext uri="{FF2B5EF4-FFF2-40B4-BE49-F238E27FC236}">
              <a16:creationId xmlns:a16="http://schemas.microsoft.com/office/drawing/2014/main" id="{00000000-0008-0000-0700-0000DA5D2600}"/>
            </a:ext>
          </a:extLst>
        </xdr:cNvPr>
        <xdr:cNvGrpSpPr>
          <a:grpSpLocks/>
        </xdr:cNvGrpSpPr>
      </xdr:nvGrpSpPr>
      <xdr:grpSpPr bwMode="auto">
        <a:xfrm>
          <a:off x="1435100" y="12090400"/>
          <a:ext cx="85725" cy="0"/>
          <a:chOff x="595" y="540"/>
          <a:chExt cx="9" cy="9"/>
        </a:xfrm>
      </xdr:grpSpPr>
      <xdr:sp macro="" textlink="">
        <xdr:nvSpPr>
          <xdr:cNvPr id="2514396" name="Rectangle 11">
            <a:extLst>
              <a:ext uri="{FF2B5EF4-FFF2-40B4-BE49-F238E27FC236}">
                <a16:creationId xmlns:a16="http://schemas.microsoft.com/office/drawing/2014/main" id="{00000000-0008-0000-0700-0000DC5D26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7" name="Arc 12">
            <a:extLst>
              <a:ext uri="{FF2B5EF4-FFF2-40B4-BE49-F238E27FC236}">
                <a16:creationId xmlns:a16="http://schemas.microsoft.com/office/drawing/2014/main" id="{00000000-0008-0000-0700-0000DD5D26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26077" name="Chart 1">
          <a:extLst>
            <a:ext uri="{FF2B5EF4-FFF2-40B4-BE49-F238E27FC236}">
              <a16:creationId xmlns:a16="http://schemas.microsoft.com/office/drawing/2014/main" id="{00000000-0008-0000-0800-0000DD6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19" xr6:uid="{00000000-000C-0000-FFFF-FFFF00000000}" r="C4" connectionId="0">
    <xmlCellPr id="1" xr6:uid="{00000000-0010-0000-0000-000001000000}" uniqueName="1">
      <xmlPr mapId="43" xpath="/ns1:Root/ns1:Country" xmlDataType="string"/>
    </xmlCellPr>
  </singleXmlCell>
  <singleXmlCell id="420" xr6:uid="{00000000-000C-0000-FFFF-FFFF01000000}" r="C6" connectionId="0">
    <xmlCellPr id="1" xr6:uid="{00000000-0010-0000-0100-000001000000}" uniqueName="1">
      <xmlPr mapId="43" xpath="/ns1:Root/ns1:GrantNumber" xmlDataType="string"/>
    </xmlCellPr>
  </singleXmlCell>
  <singleXmlCell id="421" xr6:uid="{00000000-000C-0000-FFFF-FFFF02000000}" r="C8" connectionId="0">
    <xmlCellPr id="1" xr6:uid="{00000000-0010-0000-0200-000001000000}" uniqueName="1">
      <xmlPr mapId="43" xpath="/ns1:Root/ns1:PR" xmlDataType="string"/>
    </xmlCellPr>
  </singleXmlCell>
  <singleXmlCell id="422" xr6:uid="{00000000-000C-0000-FFFF-FFFF03000000}" r="C10" connectionId="0">
    <xmlCellPr id="1" xr6:uid="{00000000-0010-0000-0300-000001000000}" uniqueName="1">
      <xmlPr mapId="43" xpath="/ns1:Root/ns1:StartDate" xmlDataType="dateTime"/>
    </xmlCellPr>
  </singleXmlCell>
  <singleXmlCell id="423" xr6:uid="{00000000-000C-0000-FFFF-FFFF04000000}" r="C12" connectionId="0">
    <xmlCellPr id="1" xr6:uid="{00000000-0010-0000-0400-000001000000}" uniqueName="1">
      <xmlPr mapId="43" xpath="/ns1:Root/ns1:LatestRating" xmlDataType="string"/>
    </xmlCellPr>
  </singleXmlCell>
  <singleXmlCell id="424" xr6:uid="{00000000-000C-0000-FFFF-FFFF05000000}" r="G4" connectionId="0">
    <xmlCellPr id="1" xr6:uid="{00000000-0010-0000-0500-000001000000}" uniqueName="1">
      <xmlPr mapId="43" xpath="/ns1:Root/ns1:GranTitle" xmlDataType="string"/>
    </xmlCellPr>
  </singleXmlCell>
  <singleXmlCell id="425" xr6:uid="{00000000-000C-0000-FFFF-FFFF06000000}" r="G6" connectionId="0">
    <xmlCellPr id="1" xr6:uid="{00000000-0010-0000-0600-000001000000}" uniqueName="1">
      <xmlPr mapId="43" xpath="/ns1:Root/ns1:Componenent" xmlDataType="string"/>
    </xmlCellPr>
  </singleXmlCell>
  <singleXmlCell id="426" xr6:uid="{00000000-000C-0000-FFFF-FFFF07000000}" r="I6" connectionId="0">
    <xmlCellPr id="1" xr6:uid="{00000000-0010-0000-0700-000001000000}" uniqueName="1">
      <xmlPr mapId="43" xpath="/ns1:Root/ns1:TotalFunding" xmlDataType="double"/>
    </xmlCellPr>
  </singleXmlCell>
  <singleXmlCell id="427" xr6:uid="{00000000-000C-0000-FFFF-FFFF08000000}" r="G8" connectionId="0">
    <xmlCellPr id="1" xr6:uid="{00000000-0010-0000-0800-000001000000}" uniqueName="1">
      <xmlPr mapId="43" xpath="/ns1:Root/ns1:Round" xmlDataType="string"/>
    </xmlCellPr>
  </singleXmlCell>
  <singleXmlCell id="428" xr6:uid="{00000000-000C-0000-FFFF-FFFF09000000}" r="I8" connectionId="0">
    <xmlCellPr id="1" xr6:uid="{00000000-0010-0000-0900-000001000000}" uniqueName="1">
      <xmlPr mapId="43" xpath="/ns1:Root/ns1:Phase" xmlDataType="string"/>
    </xmlCellPr>
  </singleXmlCell>
  <singleXmlCell id="429" xr6:uid="{00000000-000C-0000-FFFF-FFFF0A000000}" r="G10" connectionId="0">
    <xmlCellPr id="1" xr6:uid="{00000000-0010-0000-0A00-000001000000}" uniqueName="1">
      <xmlPr mapId="43" xpath="/ns1:Root/ns1:LFA" xmlDataType="string"/>
    </xmlCellPr>
  </singleXmlCell>
  <singleXmlCell id="430" xr6:uid="{00000000-000C-0000-FFFF-FFFF0B000000}" r="G12" connectionId="0">
    <xmlCellPr id="1" xr6:uid="{00000000-0010-0000-0B00-000001000000}" uniqueName="1">
      <xmlPr mapId="43" xpath="/ns1:Root/ns1:FPM" xmlDataType="string"/>
    </xmlCellPr>
  </singleXmlCell>
  <singleXmlCell id="431" xr6:uid="{00000000-000C-0000-FFFF-FFFF0C000000}" r="C16" connectionId="0">
    <xmlCellPr id="1" xr6:uid="{00000000-0010-0000-0C00-000001000000}" uniqueName="1">
      <xmlPr mapId="43" xpath="/ns1:Root/ns1:Period" xmlDataType="string"/>
    </xmlCellPr>
  </singleXmlCell>
  <singleXmlCell id="432" xr6:uid="{00000000-000C-0000-FFFF-FFFF0D000000}" r="E16" connectionId="0">
    <xmlCellPr id="1" xr6:uid="{00000000-0010-0000-0D00-000001000000}" uniqueName="1">
      <xmlPr mapId="43" xpath="/ns1:Root/ns1:From" xmlDataType="dateTime"/>
    </xmlCellPr>
  </singleXmlCell>
  <singleXmlCell id="433" xr6:uid="{00000000-000C-0000-FFFF-FFFF0E000000}" r="G16" connectionId="0">
    <xmlCellPr id="1" xr6:uid="{00000000-0010-0000-0E00-000001000000}" uniqueName="1">
      <xmlPr mapId="43" xpath="/ns1:Root/ns1:To" xmlDataType="dateTime"/>
    </xmlCellPr>
  </singleXmlCell>
  <singleXmlCell id="434" xr6:uid="{00000000-000C-0000-FFFF-FFFF0F000000}" r="J16" connectionId="0">
    <xmlCellPr id="1" xr6:uid="{00000000-0010-0000-0F00-000001000000}" uniqueName="1">
      <xmlPr mapId="43" xpath="/ns1:Root/ns1:DataEntryDate" xmlDataType="dateTime"/>
    </xmlCellPr>
  </singleXmlCell>
  <singleXmlCell id="435" xr6:uid="{00000000-000C-0000-FFFF-FFFF10000000}" r="D18" connectionId="0">
    <xmlCellPr id="1" xr6:uid="{00000000-0010-0000-1000-000001000000}" uniqueName="1">
      <xmlPr mapId="43" xpath="/ns1:Root/ns1:PreparedBy" xmlDataType="string"/>
    </xmlCellPr>
  </singleXmlCell>
  <singleXmlCell id="436" xr6:uid="{00000000-000C-0000-FFFF-FFFF11000000}" r="C31" connectionId="0">
    <xmlCellPr id="1" xr6:uid="{00000000-0010-0000-1100-000001000000}" uniqueName="1">
      <xmlPr mapId="43" xpath="/ns1:Root/ns1:F1/ns1:Budget__in____P1" xmlDataType="double"/>
    </xmlCellPr>
  </singleXmlCell>
  <singleXmlCell id="437" xr6:uid="{00000000-000C-0000-FFFF-FFFF12000000}" r="D31" connectionId="0">
    <xmlCellPr id="1" xr6:uid="{00000000-0010-0000-1200-000001000000}" uniqueName="1">
      <xmlPr mapId="43" xpath="/ns1:Root/ns1:F1/ns1:Budget__in____P2" xmlDataType="double"/>
    </xmlCellPr>
  </singleXmlCell>
  <singleXmlCell id="438" xr6:uid="{00000000-000C-0000-FFFF-FFFF13000000}" r="E31" connectionId="0">
    <xmlCellPr id="1" xr6:uid="{00000000-0010-0000-1300-000001000000}" uniqueName="1">
      <xmlPr mapId="43" xpath="/ns1:Root/ns1:F1/ns1:Budget__in____P3" xmlDataType="string"/>
    </xmlCellPr>
  </singleXmlCell>
  <singleXmlCell id="439" xr6:uid="{00000000-000C-0000-FFFF-FFFF14000000}" r="F31" connectionId="0">
    <xmlCellPr id="1" xr6:uid="{00000000-0010-0000-1400-000001000000}" uniqueName="1">
      <xmlPr mapId="43" xpath="/ns1:Root/ns1:F1/ns1:Budget__in____P4" xmlDataType="string"/>
    </xmlCellPr>
  </singleXmlCell>
  <singleXmlCell id="440" xr6:uid="{00000000-000C-0000-FFFF-FFFF15000000}" r="G31" connectionId="0">
    <xmlCellPr id="1" xr6:uid="{00000000-0010-0000-1500-000001000000}" uniqueName="1">
      <xmlPr mapId="43" xpath="/ns1:Root/ns1:F1/ns1:Budget__in____P5" xmlDataType="string"/>
    </xmlCellPr>
  </singleXmlCell>
  <singleXmlCell id="441" xr6:uid="{00000000-000C-0000-FFFF-FFFF16000000}" r="H31" connectionId="0">
    <xmlCellPr id="1" xr6:uid="{00000000-0010-0000-1600-000001000000}" uniqueName="1">
      <xmlPr mapId="43" xpath="/ns1:Root/ns1:F1/ns1:Budget__in____P6" xmlDataType="string"/>
    </xmlCellPr>
  </singleXmlCell>
  <singleXmlCell id="442" xr6:uid="{00000000-000C-0000-FFFF-FFFF17000000}" r="I31" connectionId="0">
    <xmlCellPr id="1" xr6:uid="{00000000-0010-0000-1700-000001000000}" uniqueName="1">
      <xmlPr mapId="43" xpath="/ns1:Root/ns1:F1/ns1:Budget__in____P7" xmlDataType="string"/>
    </xmlCellPr>
  </singleXmlCell>
  <singleXmlCell id="443" xr6:uid="{00000000-000C-0000-FFFF-FFFF18000000}" r="J31" connectionId="0">
    <xmlCellPr id="1" xr6:uid="{00000000-0010-0000-1800-000001000000}" uniqueName="1">
      <xmlPr mapId="43" xpath="/ns1:Root/ns1:F1/ns1:Budget__in____P8" xmlDataType="string"/>
    </xmlCellPr>
  </singleXmlCell>
  <singleXmlCell id="444" xr6:uid="{00000000-000C-0000-FFFF-FFFF19000000}" r="K31" connectionId="0">
    <xmlCellPr id="1" xr6:uid="{00000000-0010-0000-1900-000001000000}" uniqueName="1">
      <xmlPr mapId="43" xpath="/ns1:Root/ns1:F1/ns1:Budget__in____P9" xmlDataType="string"/>
    </xmlCellPr>
  </singleXmlCell>
  <singleXmlCell id="445" xr6:uid="{00000000-000C-0000-FFFF-FFFF1A000000}" r="L31" connectionId="0">
    <xmlCellPr id="1" xr6:uid="{00000000-0010-0000-1A00-000001000000}" uniqueName="1">
      <xmlPr mapId="43" xpath="/ns1:Root/ns1:F1/ns1:Budget__in____P10" xmlDataType="string"/>
    </xmlCellPr>
  </singleXmlCell>
  <singleXmlCell id="446" xr6:uid="{00000000-000C-0000-FFFF-FFFF1B000000}" r="M31" connectionId="0">
    <xmlCellPr id="1" xr6:uid="{00000000-0010-0000-1B00-000001000000}" uniqueName="1">
      <xmlPr mapId="43" xpath="/ns1:Root/ns1:F1/ns1:Budget__in____P11" xmlDataType="string"/>
    </xmlCellPr>
  </singleXmlCell>
  <singleXmlCell id="447" xr6:uid="{00000000-000C-0000-FFFF-FFFF1C000000}" r="N31" connectionId="0">
    <xmlCellPr id="1" xr6:uid="{00000000-0010-0000-1C00-000001000000}" uniqueName="1">
      <xmlPr mapId="43" xpath="/ns1:Root/ns1:F1/ns1:Budget__in____P12" xmlDataType="string"/>
    </xmlCellPr>
  </singleXmlCell>
  <singleXmlCell id="448" xr6:uid="{00000000-000C-0000-FFFF-FFFF1D000000}" r="C32" connectionId="0">
    <xmlCellPr id="1" xr6:uid="{00000000-0010-0000-1D00-000001000000}" uniqueName="1">
      <xmlPr mapId="43" xpath="/ns1:Root/ns1:F1/ns1:Disbursements_by_GF__in____P1" xmlDataType="double"/>
    </xmlCellPr>
  </singleXmlCell>
  <singleXmlCell id="449" xr6:uid="{00000000-000C-0000-FFFF-FFFF1E000000}" r="D32" connectionId="0">
    <xmlCellPr id="1" xr6:uid="{00000000-0010-0000-1E00-000001000000}" uniqueName="1">
      <xmlPr mapId="43" xpath="/ns1:Root/ns1:F1/ns1:Disbursements_by_GF__in____P2" xmlDataType="double"/>
    </xmlCellPr>
  </singleXmlCell>
  <singleXmlCell id="450" xr6:uid="{00000000-000C-0000-FFFF-FFFF1F000000}" r="E32" connectionId="0">
    <xmlCellPr id="1" xr6:uid="{00000000-0010-0000-1F00-000001000000}" uniqueName="1">
      <xmlPr mapId="43" xpath="/ns1:Root/ns1:F1/ns1:Disbursements_by_GF__in____P3" xmlDataType="string"/>
    </xmlCellPr>
  </singleXmlCell>
  <singleXmlCell id="451" xr6:uid="{00000000-000C-0000-FFFF-FFFF20000000}" r="F32" connectionId="0">
    <xmlCellPr id="1" xr6:uid="{00000000-0010-0000-2000-000001000000}" uniqueName="1">
      <xmlPr mapId="43" xpath="/ns1:Root/ns1:F1/ns1:Disbursements_by_GF__in____P4" xmlDataType="string"/>
    </xmlCellPr>
  </singleXmlCell>
  <singleXmlCell id="452" xr6:uid="{00000000-000C-0000-FFFF-FFFF21000000}" r="G32" connectionId="0">
    <xmlCellPr id="1" xr6:uid="{00000000-0010-0000-2100-000001000000}" uniqueName="1">
      <xmlPr mapId="43" xpath="/ns1:Root/ns1:F1/ns1:Disbursements_by_GF__in____P5" xmlDataType="string"/>
    </xmlCellPr>
  </singleXmlCell>
  <singleXmlCell id="453" xr6:uid="{00000000-000C-0000-FFFF-FFFF22000000}" r="H32" connectionId="0">
    <xmlCellPr id="1" xr6:uid="{00000000-0010-0000-2200-000001000000}" uniqueName="1">
      <xmlPr mapId="43" xpath="/ns1:Root/ns1:F1/ns1:Disbursements_by_GF__in____P6" xmlDataType="string"/>
    </xmlCellPr>
  </singleXmlCell>
  <singleXmlCell id="454" xr6:uid="{00000000-000C-0000-FFFF-FFFF23000000}" r="I32" connectionId="0">
    <xmlCellPr id="1" xr6:uid="{00000000-0010-0000-2300-000001000000}" uniqueName="1">
      <xmlPr mapId="43" xpath="/ns1:Root/ns1:F1/ns1:Disbursements_by_GF__in____P7" xmlDataType="string"/>
    </xmlCellPr>
  </singleXmlCell>
  <singleXmlCell id="455" xr6:uid="{00000000-000C-0000-FFFF-FFFF24000000}" r="J32" connectionId="0">
    <xmlCellPr id="1" xr6:uid="{00000000-0010-0000-2400-000001000000}" uniqueName="1">
      <xmlPr mapId="43" xpath="/ns1:Root/ns1:F1/ns1:Disbursements_by_GF__in____P8" xmlDataType="string"/>
    </xmlCellPr>
  </singleXmlCell>
  <singleXmlCell id="456" xr6:uid="{00000000-000C-0000-FFFF-FFFF25000000}" r="K32" connectionId="0">
    <xmlCellPr id="1" xr6:uid="{00000000-0010-0000-2500-000001000000}" uniqueName="1">
      <xmlPr mapId="43" xpath="/ns1:Root/ns1:F1/ns1:Disbursements_by_GF__in____P9" xmlDataType="string"/>
    </xmlCellPr>
  </singleXmlCell>
  <singleXmlCell id="457" xr6:uid="{00000000-000C-0000-FFFF-FFFF26000000}" r="L32" connectionId="0">
    <xmlCellPr id="1" xr6:uid="{00000000-0010-0000-2600-000001000000}" uniqueName="1">
      <xmlPr mapId="43" xpath="/ns1:Root/ns1:F1/ns1:Disbursements_by_GF__in____P10" xmlDataType="string"/>
    </xmlCellPr>
  </singleXmlCell>
  <singleXmlCell id="458" xr6:uid="{00000000-000C-0000-FFFF-FFFF27000000}" r="M32" connectionId="0">
    <xmlCellPr id="1" xr6:uid="{00000000-0010-0000-2700-000001000000}" uniqueName="1">
      <xmlPr mapId="43" xpath="/ns1:Root/ns1:F1/ns1:Disbursements_by_GF__in____P11" xmlDataType="string"/>
    </xmlCellPr>
  </singleXmlCell>
  <singleXmlCell id="459" xr6:uid="{00000000-000C-0000-FFFF-FFFF28000000}" r="N32" connectionId="0">
    <xmlCellPr id="1" xr6:uid="{00000000-0010-0000-2800-000001000000}" uniqueName="1">
      <xmlPr mapId="43" xpath="/ns1:Root/ns1:F1/ns1:Disbursements_by_GF__in____P12" xmlDataType="string"/>
    </xmlCellPr>
  </singleXmlCell>
  <singleXmlCell id="460" xr6:uid="{00000000-000C-0000-FFFF-FFFF29000000}" r="C39" connectionId="0">
    <xmlCellPr id="1" xr6:uid="{00000000-0010-0000-2900-000001000000}" uniqueName="1">
      <xmlPr mapId="43" xpath="/ns1:Root/ns1:F2/ns1:TB__detect_and_treat_Cumulative_Budget__in___" xmlDataType="double"/>
    </xmlCellPr>
  </singleXmlCell>
  <singleXmlCell id="461" xr6:uid="{00000000-000C-0000-FFFF-FFFF2A000000}" r="D39" connectionId="0">
    <xmlCellPr id="1" xr6:uid="{00000000-0010-0000-2A00-000001000000}" uniqueName="1">
      <xmlPr mapId="43" xpath="/ns1:Root/ns1:F2/ns1:TB__detect_and_treat_Cumulative_Expenditures__in___" xmlDataType="double"/>
    </xmlCellPr>
  </singleXmlCell>
  <singleXmlCell id="462" xr6:uid="{00000000-000C-0000-FFFF-FFFF2B000000}" r="C40" connectionId="0">
    <xmlCellPr id="1" xr6:uid="{00000000-0010-0000-2B00-000001000000}" uniqueName="1">
      <xmlPr mapId="43" xpath="/ns1:Root/ns1:F2/ns1:TB__ID_cases_Cumulative_Budget__in___" xmlDataType="double"/>
    </xmlCellPr>
  </singleXmlCell>
  <singleXmlCell id="463" xr6:uid="{00000000-000C-0000-FFFF-FFFF2C000000}" r="D40" connectionId="0">
    <xmlCellPr id="1" xr6:uid="{00000000-0010-0000-2C00-000001000000}" uniqueName="1">
      <xmlPr mapId="43" xpath="/ns1:Root/ns1:F2/ns1:TB__ID_cases_Cumulative_Expenditures__in___" xmlDataType="double"/>
    </xmlCellPr>
  </singleXmlCell>
  <singleXmlCell id="464" xr6:uid="{00000000-000C-0000-FFFF-FFFF2D000000}" r="C41" connectionId="0">
    <xmlCellPr id="1" xr6:uid="{00000000-0010-0000-2D00-000001000000}" uniqueName="1">
      <xmlPr mapId="43" xpath="/ns1:Root/ns1:F2/ns1:TB_HIV__Cumulative_Budget__in___" xmlDataType="double"/>
    </xmlCellPr>
  </singleXmlCell>
  <singleXmlCell id="465" xr6:uid="{00000000-000C-0000-FFFF-FFFF2E000000}" r="D41" connectionId="0">
    <xmlCellPr id="1" xr6:uid="{00000000-0010-0000-2E00-000001000000}" uniqueName="1">
      <xmlPr mapId="43" xpath="/ns1:Root/ns1:F2/ns1:TB_HIV__Cumulative_Expenditures__in___" xmlDataType="double"/>
    </xmlCellPr>
  </singleXmlCell>
  <singleXmlCell id="468" xr6:uid="{00000000-000C-0000-FFFF-FFFF2F000000}" r="C42" connectionId="0">
    <xmlCellPr id="1" xr6:uid="{00000000-0010-0000-2F00-000001000000}" uniqueName="1">
      <xmlPr mapId="43" xpath="/ns1:Root/ns1:F2/ns1:Environ__Community_TB_care__Cumulative_Budget__in___" xmlDataType="double"/>
    </xmlCellPr>
  </singleXmlCell>
  <singleXmlCell id="469" xr6:uid="{00000000-000C-0000-FFFF-FFFF30000000}" r="D42" connectionId="0">
    <xmlCellPr id="1" xr6:uid="{00000000-0010-0000-3000-000001000000}" uniqueName="1">
      <xmlPr mapId="43" xpath="/ns1:Root/ns1:F2/ns1:Environ__Community_TB_care__Cumulative_Expenditures__in___" xmlDataType="double"/>
    </xmlCellPr>
  </singleXmlCell>
  <singleXmlCell id="470" xr6:uid="{00000000-000C-0000-FFFF-FFFF31000000}" r="C43" connectionId="0">
    <xmlCellPr id="1" xr6:uid="{00000000-0010-0000-3100-000001000000}" uniqueName="1">
      <xmlPr mapId="43" xpath="/ns1:Root/ns1:F2/ns1:_Cumulative_Budget__in____1" xmlDataType="string"/>
    </xmlCellPr>
  </singleXmlCell>
  <singleXmlCell id="471" xr6:uid="{00000000-000C-0000-FFFF-FFFF32000000}" r="D43" connectionId="0">
    <xmlCellPr id="1" xr6:uid="{00000000-0010-0000-3200-000001000000}" uniqueName="1">
      <xmlPr mapId="43" xpath="/ns1:Root/ns1:F2/ns1:_Cumulative_Expenditures__in____1" xmlDataType="string"/>
    </xmlCellPr>
  </singleXmlCell>
  <singleXmlCell id="472" xr6:uid="{00000000-000C-0000-FFFF-FFFF33000000}" r="C44" connectionId="0">
    <xmlCellPr id="1" xr6:uid="{00000000-0010-0000-3300-000001000000}" uniqueName="1">
      <xmlPr mapId="43" xpath="/ns1:Root/ns1:F2/ns1:_Cumulative_Budget__in____2" xmlDataType="string"/>
    </xmlCellPr>
  </singleXmlCell>
  <singleXmlCell id="473" xr6:uid="{00000000-000C-0000-FFFF-FFFF34000000}" r="D44" connectionId="0">
    <xmlCellPr id="1" xr6:uid="{00000000-0010-0000-3400-000001000000}" uniqueName="1">
      <xmlPr mapId="43" xpath="/ns1:Root/ns1:F2/ns1:_Cumulative_Expenditures__in____2" xmlDataType="string"/>
    </xmlCellPr>
  </singleXmlCell>
  <singleXmlCell id="474" xr6:uid="{00000000-000C-0000-FFFF-FFFF35000000}" r="C45" connectionId="0">
    <xmlCellPr id="1" xr6:uid="{00000000-0010-0000-3500-000001000000}" uniqueName="1">
      <xmlPr mapId="43" xpath="/ns1:Root/ns1:F2/ns1:_Cumulative_Budget__in___" xmlDataType="string"/>
    </xmlCellPr>
  </singleXmlCell>
  <singleXmlCell id="475" xr6:uid="{00000000-000C-0000-FFFF-FFFF36000000}" r="D45" connectionId="0">
    <xmlCellPr id="1" xr6:uid="{00000000-0010-0000-3600-000001000000}" uniqueName="1">
      <xmlPr mapId="43" xpath="/ns1:Root/ns1:F2/ns1:_Cumulative_Expenditures__in___" xmlDataType="string"/>
    </xmlCellPr>
  </singleXmlCell>
  <singleXmlCell id="476" xr6:uid="{00000000-000C-0000-FFFF-FFFF37000000}" r="C51" connectionId="0">
    <xmlCellPr id="1" xr6:uid="{00000000-0010-0000-3700-000001000000}" uniqueName="1">
      <xmlPr mapId="43" xpath="/ns1:Root/ns1:F3/ns1:Disbursed_by_Global_Fund_Prior_to_reporting_period__in___" xmlDataType="double"/>
    </xmlCellPr>
  </singleXmlCell>
  <singleXmlCell id="477" xr6:uid="{00000000-000C-0000-FFFF-FFFF38000000}" r="D51" connectionId="0">
    <xmlCellPr id="1" xr6:uid="{00000000-0010-0000-3800-000001000000}" uniqueName="1">
      <xmlPr mapId="43" xpath="/ns1:Root/ns1:F3/ns1:Disbursed_by_Global_Fund_Reporting_period__in___" xmlDataType="double"/>
    </xmlCellPr>
  </singleXmlCell>
  <singleXmlCell id="478" xr6:uid="{00000000-000C-0000-FFFF-FFFF39000000}" r="C52" connectionId="0">
    <xmlCellPr id="1" xr6:uid="{00000000-0010-0000-3900-000001000000}" uniqueName="1">
      <xmlPr mapId="43" xpath="/ns1:Root/ns1:F3/ns1:PR_expenditure_and_disbursement_Prior_to_reporting_period__in___" xmlDataType="double"/>
    </xmlCellPr>
  </singleXmlCell>
  <singleXmlCell id="479" xr6:uid="{00000000-000C-0000-FFFF-FFFF3A000000}" r="D52" connectionId="0">
    <xmlCellPr id="1" xr6:uid="{00000000-0010-0000-3A00-000001000000}" uniqueName="1">
      <xmlPr mapId="43" xpath="/ns1:Root/ns1:F3/ns1:PR_expenditure_and_disbursement_Reporting_period__in___" xmlDataType="double"/>
    </xmlCellPr>
  </singleXmlCell>
  <singleXmlCell id="480" xr6:uid="{00000000-000C-0000-FFFF-FFFF3B000000}" r="C53" connectionId="0">
    <xmlCellPr id="1" xr6:uid="{00000000-0010-0000-3B00-000001000000}" uniqueName="1">
      <xmlPr mapId="43" xpath="/ns1:Root/ns1:F3/ns1:Disbursed_to_SRs_Prior_to_reporting_period__in___" xmlDataType="double"/>
    </xmlCellPr>
  </singleXmlCell>
  <singleXmlCell id="481" xr6:uid="{00000000-000C-0000-FFFF-FFFF3C000000}" r="D53" connectionId="0">
    <xmlCellPr id="1" xr6:uid="{00000000-0010-0000-3C00-000001000000}" uniqueName="1">
      <xmlPr mapId="43" xpath="/ns1:Root/ns1:F3/ns1:Disbursed_to_SRs_Reporting_period__in___" xmlDataType="double"/>
    </xmlCellPr>
  </singleXmlCell>
  <singleXmlCell id="482" xr6:uid="{00000000-000C-0000-FFFF-FFFF3D000000}" r="C54" connectionId="0">
    <xmlCellPr id="1" xr6:uid="{00000000-0010-0000-3D00-000001000000}" uniqueName="1">
      <xmlPr mapId="43" xpath="/ns1:Root/ns1:F3/ns1:SR_expenditures_Prior_to_reporting_period__in___" xmlDataType="double"/>
    </xmlCellPr>
  </singleXmlCell>
  <singleXmlCell id="483" xr6:uid="{00000000-000C-0000-FFFF-FFFF3E000000}" r="D54" connectionId="0">
    <xmlCellPr id="1" xr6:uid="{00000000-0010-0000-3E00-000001000000}" uniqueName="1">
      <xmlPr mapId="43" xpath="/ns1:Root/ns1:F3/ns1:SR_expenditures_Reporting_period__in___" xmlDataType="double"/>
    </xmlCellPr>
  </singleXmlCell>
  <singleXmlCell id="484" xr6:uid="{00000000-000C-0000-FFFF-FFFF3F000000}" r="C61" connectionId="0">
    <xmlCellPr id="1" xr6:uid="{00000000-0010-0000-3F00-000001000000}" uniqueName="1">
      <xmlPr mapId="43" xpath="/ns1:Root/ns1:F4/ns1:Days_taken_to_submit_acceptable_PU_DR_to_LFA_Expected__days_" xmlDataType="double"/>
    </xmlCellPr>
  </singleXmlCell>
  <singleXmlCell id="485" xr6:uid="{00000000-000C-0000-FFFF-FFFF40000000}" r="D61" connectionId="0">
    <xmlCellPr id="1" xr6:uid="{00000000-0010-0000-4000-000001000000}" uniqueName="1">
      <xmlPr mapId="43" xpath="/ns1:Root/ns1:F4/ns1:Days_taken_to_submit_acceptable_PU_DR_to_LFA_Actual__days_" xmlDataType="double"/>
    </xmlCellPr>
  </singleXmlCell>
  <singleXmlCell id="486" xr6:uid="{00000000-000C-0000-FFFF-FFFF41000000}" r="C62" connectionId="0">
    <xmlCellPr id="1" xr6:uid="{00000000-0010-0000-4100-000001000000}" uniqueName="1">
      <xmlPr mapId="43" xpath="/ns1:Root/ns1:F4/ns1:Days_taken_for_disbursement_to_reach_PR_Expected__days_" xmlDataType="double"/>
    </xmlCellPr>
  </singleXmlCell>
  <singleXmlCell id="487" xr6:uid="{00000000-000C-0000-FFFF-FFFF42000000}" r="D62" connectionId="0">
    <xmlCellPr id="1" xr6:uid="{00000000-0010-0000-4200-000001000000}" uniqueName="1">
      <xmlPr mapId="43" xpath="/ns1:Root/ns1:F4/ns1:Days_taken_for_disbursement_to_reach_PR_Actual__days_" xmlDataType="double"/>
    </xmlCellPr>
  </singleXmlCell>
  <singleXmlCell id="488" xr6:uid="{00000000-000C-0000-FFFF-FFFF43000000}" r="C63" connectionId="0">
    <xmlCellPr id="1" xr6:uid="{00000000-0010-0000-4300-000001000000}" uniqueName="1">
      <xmlPr mapId="43" xpath="/ns1:Root/ns1:F4/ns1:Days_taken_for_disbursement_to_reach_SRs__Expected__days_" xmlDataType="double"/>
    </xmlCellPr>
  </singleXmlCell>
  <singleXmlCell id="489" xr6:uid="{00000000-000C-0000-FFFF-FFFF44000000}" r="D63" connectionId="0">
    <xmlCellPr id="1" xr6:uid="{00000000-0010-0000-4400-000001000000}" uniqueName="1">
      <xmlPr mapId="43" xpath="/ns1:Root/ns1:F4/ns1:Days_taken_for_disbursement_to_reach_SRs__Actual__days_" xmlDataType="double"/>
    </xmlCellPr>
  </singleXmlCell>
  <singleXmlCell id="490" xr6:uid="{00000000-000C-0000-FFFF-FFFF45000000}" r="B71" connectionId="0">
    <xmlCellPr id="1" xr6:uid="{00000000-0010-0000-4500-000001000000}" uniqueName="1">
      <xmlPr mapId="43" xpath="/ns1:Root/ns1:M1/ns1:Conditions_precedents__CPs__" xmlDataType="string"/>
    </xmlCellPr>
  </singleXmlCell>
  <singleXmlCell id="491" xr6:uid="{00000000-000C-0000-FFFF-FFFF46000000}" r="D71" connectionId="0">
    <xmlCellPr id="1" xr6:uid="{00000000-0010-0000-4600-000001000000}" uniqueName="1">
      <xmlPr mapId="43" xpath="/ns1:Root/ns1:M1/ns1:Conditions_precedents__CPs__Fulfilled" xmlDataType="double"/>
    </xmlCellPr>
  </singleXmlCell>
  <singleXmlCell id="492" xr6:uid="{00000000-000C-0000-FFFF-FFFF47000000}" r="E71" connectionId="0">
    <xmlCellPr id="1" xr6:uid="{00000000-0010-0000-4700-000001000000}" uniqueName="1">
      <xmlPr mapId="43" xpath="/ns1:Root/ns1:M1/ns1:Conditions_precedents__CPs__Not_fulfilled__but_within_deadline" xmlDataType="double"/>
    </xmlCellPr>
  </singleXmlCell>
  <singleXmlCell id="493" xr6:uid="{00000000-000C-0000-FFFF-FFFF48000000}" r="F71" connectionId="0">
    <xmlCellPr id="1" xr6:uid="{00000000-0010-0000-4800-000001000000}" uniqueName="1">
      <xmlPr mapId="43" xpath="/ns1:Root/ns1:M1/ns1:Conditions_precedents__CPs__Not_fulfilled__and_past_the_deadline" xmlDataType="double"/>
    </xmlCellPr>
  </singleXmlCell>
  <singleXmlCell id="494" xr6:uid="{00000000-000C-0000-FFFF-FFFF49000000}" r="B72" connectionId="0">
    <xmlCellPr id="1" xr6:uid="{00000000-0010-0000-4900-000001000000}" uniqueName="1">
      <xmlPr mapId="43" xpath="/ns1:Root/ns1:M1/ns1:Time_Bound_Actions__TBAs__" xmlDataType="string"/>
    </xmlCellPr>
  </singleXmlCell>
  <singleXmlCell id="495" xr6:uid="{00000000-000C-0000-FFFF-FFFF4A000000}" r="D72" connectionId="0">
    <xmlCellPr id="1" xr6:uid="{00000000-0010-0000-4A00-000001000000}" uniqueName="1">
      <xmlPr mapId="43" xpath="/ns1:Root/ns1:M1/ns1:Time_Bound_Actions__TBAs__Fulfilled" xmlDataType="double"/>
    </xmlCellPr>
  </singleXmlCell>
  <singleXmlCell id="496" xr6:uid="{00000000-000C-0000-FFFF-FFFF4B000000}" r="E72" connectionId="0">
    <xmlCellPr id="1" xr6:uid="{00000000-0010-0000-4B00-000001000000}" uniqueName="1">
      <xmlPr mapId="43" xpath="/ns1:Root/ns1:M1/ns1:Time_Bound_Actions__TBAs__Not_fulfilled__but_within_deadline" xmlDataType="string"/>
    </xmlCellPr>
  </singleXmlCell>
  <singleXmlCell id="497" xr6:uid="{00000000-000C-0000-FFFF-FFFF4C000000}" r="F72" connectionId="0">
    <xmlCellPr id="1" xr6:uid="{00000000-0010-0000-4C00-000001000000}" uniqueName="1">
      <xmlPr mapId="43" xpath="/ns1:Root/ns1:M1/ns1:Time_Bound_Actions__TBAs__Not_fulfilled__and_past_the_deadline" xmlDataType="double"/>
    </xmlCellPr>
  </singleXmlCell>
  <singleXmlCell id="498" xr6:uid="{00000000-000C-0000-FFFF-FFFF4D000000}" r="C78" connectionId="0">
    <xmlCellPr id="1" xr6:uid="{00000000-0010-0000-4D00-000001000000}" uniqueName="1">
      <xmlPr mapId="43" xpath="/ns1:Root/ns1:M2/ns1:PMU_Planned" xmlDataType="double"/>
    </xmlCellPr>
  </singleXmlCell>
  <singleXmlCell id="499" xr6:uid="{00000000-000C-0000-FFFF-FFFF4E000000}" r="D78" connectionId="0">
    <xmlCellPr id="1" xr6:uid="{00000000-0010-0000-4E00-000001000000}" uniqueName="1">
      <xmlPr mapId="43" xpath="/ns1:Root/ns1:M2/ns1:PMU_Filled" xmlDataType="double"/>
    </xmlCellPr>
  </singleXmlCell>
  <singleXmlCell id="500" xr6:uid="{00000000-000C-0000-FFFF-FFFF4F000000}" r="C83" connectionId="0">
    <xmlCellPr id="1" xr6:uid="{00000000-0010-0000-4F00-000001000000}" uniqueName="1">
      <xmlPr mapId="43" xpath="/ns1:Root/ns1:M3/ns1:SRs_Identified" xmlDataType="double"/>
    </xmlCellPr>
  </singleXmlCell>
  <singleXmlCell id="501" xr6:uid="{00000000-000C-0000-FFFF-FFFF50000000}" r="D83" connectionId="0">
    <xmlCellPr id="1" xr6:uid="{00000000-0010-0000-5000-000001000000}" uniqueName="1">
      <xmlPr mapId="43" xpath="/ns1:Root/ns1:M3/ns1:SRs_Assessed" xmlDataType="double"/>
    </xmlCellPr>
  </singleXmlCell>
  <singleXmlCell id="502" xr6:uid="{00000000-000C-0000-FFFF-FFFF51000000}" r="E83" connectionId="0">
    <xmlCellPr id="1" xr6:uid="{00000000-0010-0000-5100-000001000000}" uniqueName="1">
      <xmlPr mapId="43" xpath="/ns1:Root/ns1:M3/ns1:SRs_Approved" xmlDataType="double"/>
    </xmlCellPr>
  </singleXmlCell>
  <singleXmlCell id="503" xr6:uid="{00000000-000C-0000-FFFF-FFFF52000000}" r="F83" connectionId="0">
    <xmlCellPr id="1" xr6:uid="{00000000-0010-0000-5200-000001000000}" uniqueName="1">
      <xmlPr mapId="43" xpath="/ns1:Root/ns1:M3/ns1:SRs_Signed" xmlDataType="double"/>
    </xmlCellPr>
  </singleXmlCell>
  <singleXmlCell id="504" xr6:uid="{00000000-000C-0000-FFFF-FFFF53000000}" r="G83" connectionId="0">
    <xmlCellPr id="1" xr6:uid="{00000000-0010-0000-5300-000001000000}" uniqueName="1">
      <xmlPr mapId="43" xpath="/ns1:Root/ns1:M3/ns1:SRs_Receiving_Funding" xmlDataType="double"/>
    </xmlCellPr>
  </singleXmlCell>
  <singleXmlCell id="506" xr6:uid="{00000000-000C-0000-FFFF-FFFF54000000}" r="C88" connectionId="0">
    <xmlCellPr id="1" xr6:uid="{00000000-0010-0000-5400-000001000000}" uniqueName="1">
      <xmlPr mapId="43" xpath="/ns1:Root/ns1:M4/ns1:SSR_to_SR__IR_____Expected" xmlDataType="string"/>
    </xmlCellPr>
  </singleXmlCell>
  <singleXmlCell id="507" xr6:uid="{00000000-000C-0000-FFFF-FFFF55000000}" r="D88" connectionId="0">
    <xmlCellPr id="1" xr6:uid="{00000000-0010-0000-5500-000001000000}" uniqueName="1">
      <xmlPr mapId="43" xpath="/ns1:Root/ns1:M4/ns1:SSR_to_SR__IR____Received" xmlDataType="string"/>
    </xmlCellPr>
  </singleXmlCell>
  <singleXmlCell id="509" xr6:uid="{00000000-000C-0000-FFFF-FFFF56000000}" r="C89" connectionId="0">
    <xmlCellPr id="1" xr6:uid="{00000000-0010-0000-5600-000001000000}" uniqueName="1">
      <xmlPr mapId="43" xpath="/ns1:Root/ns1:M4/ns1:SRs__IRs__to_PR____Expected" xmlDataType="double"/>
    </xmlCellPr>
  </singleXmlCell>
  <singleXmlCell id="510" xr6:uid="{00000000-000C-0000-FFFF-FFFF57000000}" r="D89" connectionId="0">
    <xmlCellPr id="1" xr6:uid="{00000000-0010-0000-5700-000001000000}" uniqueName="1">
      <xmlPr mapId="43" xpath="/ns1:Root/ns1:M4/ns1:SRs__IRs__to_PR___Received" xmlDataType="double"/>
    </xmlCellPr>
  </singleXmlCell>
  <singleXmlCell id="511" xr6:uid="{00000000-000C-0000-FFFF-FFFF58000000}" r="C94" connectionId="0">
    <xmlCellPr id="1" xr6:uid="{00000000-0010-0000-5800-000001000000}" uniqueName="1">
      <xmlPr mapId="43" xpath="/ns1:Root/ns1:M5/ns1:Budget_Approved__P1" xmlDataType="double"/>
    </xmlCellPr>
  </singleXmlCell>
  <singleXmlCell id="512" xr6:uid="{00000000-000C-0000-FFFF-FFFF59000000}" r="D94" connectionId="0">
    <xmlCellPr id="1" xr6:uid="{00000000-0010-0000-5900-000001000000}" uniqueName="1">
      <xmlPr mapId="43" xpath="/ns1:Root/ns1:M5/ns1:Budget_Approved__P2" xmlDataType="double"/>
    </xmlCellPr>
  </singleXmlCell>
  <singleXmlCell id="513" xr6:uid="{00000000-000C-0000-FFFF-FFFF5A000000}" r="E94" connectionId="0">
    <xmlCellPr id="1" xr6:uid="{00000000-0010-0000-5A00-000001000000}" uniqueName="1">
      <xmlPr mapId="43" xpath="/ns1:Root/ns1:M5/ns1:Budget_Approved__P3" xmlDataType="double"/>
    </xmlCellPr>
  </singleXmlCell>
  <singleXmlCell id="514" xr6:uid="{00000000-000C-0000-FFFF-FFFF5B000000}" r="F94" connectionId="0">
    <xmlCellPr id="1" xr6:uid="{00000000-0010-0000-5B00-000001000000}" uniqueName="1">
      <xmlPr mapId="43" xpath="/ns1:Root/ns1:M5/ns1:Budget_Approved__P4" xmlDataType="double"/>
    </xmlCellPr>
  </singleXmlCell>
  <singleXmlCell id="515" xr6:uid="{00000000-000C-0000-FFFF-FFFF5C000000}" r="G94" connectionId="0">
    <xmlCellPr id="1" xr6:uid="{00000000-0010-0000-5C00-000001000000}" uniqueName="1">
      <xmlPr mapId="43" xpath="/ns1:Root/ns1:M5/ns1:Budget_Approved__P5" xmlDataType="double"/>
    </xmlCellPr>
  </singleXmlCell>
  <singleXmlCell id="516" xr6:uid="{00000000-000C-0000-FFFF-FFFF5D000000}" r="H94" connectionId="0">
    <xmlCellPr id="1" xr6:uid="{00000000-0010-0000-5D00-000001000000}" uniqueName="1">
      <xmlPr mapId="43" xpath="/ns1:Root/ns1:M5/ns1:Budget_Approved__P6" xmlDataType="double"/>
    </xmlCellPr>
  </singleXmlCell>
  <singleXmlCell id="517" xr6:uid="{00000000-000C-0000-FFFF-FFFF5E000000}" r="I94" connectionId="0">
    <xmlCellPr id="1" xr6:uid="{00000000-0010-0000-5E00-000001000000}" uniqueName="1">
      <xmlPr mapId="43" xpath="/ns1:Root/ns1:M5/ns1:Budget_Approved__P7" xmlDataType="double"/>
    </xmlCellPr>
  </singleXmlCell>
  <singleXmlCell id="518" xr6:uid="{00000000-000C-0000-FFFF-FFFF5F000000}" r="J94" connectionId="0">
    <xmlCellPr id="1" xr6:uid="{00000000-0010-0000-5F00-000001000000}" uniqueName="1">
      <xmlPr mapId="43" xpath="/ns1:Root/ns1:M5/ns1:Budget_Approved__P8" xmlDataType="double"/>
    </xmlCellPr>
  </singleXmlCell>
  <singleXmlCell id="519" xr6:uid="{00000000-000C-0000-FFFF-FFFF60000000}" r="K94" connectionId="0">
    <xmlCellPr id="1" xr6:uid="{00000000-0010-0000-6000-000001000000}" uniqueName="1">
      <xmlPr mapId="43" xpath="/ns1:Root/ns1:M5/ns1:Budget_Approved__P9" xmlDataType="double"/>
    </xmlCellPr>
  </singleXmlCell>
  <singleXmlCell id="520" xr6:uid="{00000000-000C-0000-FFFF-FFFF61000000}" r="L94" connectionId="0">
    <xmlCellPr id="1" xr6:uid="{00000000-0010-0000-6100-000001000000}" uniqueName="1">
      <xmlPr mapId="43" xpath="/ns1:Root/ns1:M5/ns1:Budget_Approved__P10" xmlDataType="double"/>
    </xmlCellPr>
  </singleXmlCell>
  <singleXmlCell id="521" xr6:uid="{00000000-000C-0000-FFFF-FFFF62000000}" r="M94" connectionId="0">
    <xmlCellPr id="1" xr6:uid="{00000000-0010-0000-6200-000001000000}" uniqueName="1">
      <xmlPr mapId="43" xpath="/ns1:Root/ns1:M5/ns1:Budget_Approved__P11" xmlDataType="double"/>
    </xmlCellPr>
  </singleXmlCell>
  <singleXmlCell id="522" xr6:uid="{00000000-000C-0000-FFFF-FFFF63000000}" r="N94" connectionId="0">
    <xmlCellPr id="1" xr6:uid="{00000000-0010-0000-6300-000001000000}" uniqueName="1">
      <xmlPr mapId="43" xpath="/ns1:Root/ns1:M5/ns1:Budget_Approved__P12" xmlDataType="double"/>
    </xmlCellPr>
  </singleXmlCell>
  <singleXmlCell id="523" xr6:uid="{00000000-000C-0000-FFFF-FFFF64000000}" r="C95" connectionId="0">
    <xmlCellPr id="1" xr6:uid="{00000000-0010-0000-6400-000001000000}" uniqueName="1">
      <xmlPr mapId="43" xpath="/ns1:Root/ns1:M5/ns1:Obligations_P1" xmlDataType="double"/>
    </xmlCellPr>
  </singleXmlCell>
  <singleXmlCell id="524" xr6:uid="{00000000-000C-0000-FFFF-FFFF65000000}" r="D95" connectionId="0">
    <xmlCellPr id="1" xr6:uid="{00000000-0010-0000-6500-000001000000}" uniqueName="1">
      <xmlPr mapId="43" xpath="/ns1:Root/ns1:M5/ns1:Obligations_P2" xmlDataType="double"/>
    </xmlCellPr>
  </singleXmlCell>
  <singleXmlCell id="525" xr6:uid="{00000000-000C-0000-FFFF-FFFF66000000}" r="E95" connectionId="0">
    <xmlCellPr id="1" xr6:uid="{00000000-0010-0000-6600-000001000000}" uniqueName="1">
      <xmlPr mapId="43" xpath="/ns1:Root/ns1:M5/ns1:Obligations_P3" xmlDataType="double"/>
    </xmlCellPr>
  </singleXmlCell>
  <singleXmlCell id="526" xr6:uid="{00000000-000C-0000-FFFF-FFFF67000000}" r="F95" connectionId="0">
    <xmlCellPr id="1" xr6:uid="{00000000-0010-0000-6700-000001000000}" uniqueName="1">
      <xmlPr mapId="43" xpath="/ns1:Root/ns1:M5/ns1:Obligations_P4" xmlDataType="double"/>
    </xmlCellPr>
  </singleXmlCell>
  <singleXmlCell id="527" xr6:uid="{00000000-000C-0000-FFFF-FFFF68000000}" r="G95" connectionId="0">
    <xmlCellPr id="1" xr6:uid="{00000000-0010-0000-6800-000001000000}" uniqueName="1">
      <xmlPr mapId="43" xpath="/ns1:Root/ns1:M5/ns1:Obligations_P5" xmlDataType="double"/>
    </xmlCellPr>
  </singleXmlCell>
  <singleXmlCell id="528" xr6:uid="{00000000-000C-0000-FFFF-FFFF69000000}" r="H95" connectionId="0">
    <xmlCellPr id="1" xr6:uid="{00000000-0010-0000-6900-000001000000}" uniqueName="1">
      <xmlPr mapId="43" xpath="/ns1:Root/ns1:M5/ns1:Obligations_P6" xmlDataType="double"/>
    </xmlCellPr>
  </singleXmlCell>
  <singleXmlCell id="529" xr6:uid="{00000000-000C-0000-FFFF-FFFF6A000000}" r="I95" connectionId="0">
    <xmlCellPr id="1" xr6:uid="{00000000-0010-0000-6A00-000001000000}" uniqueName="1">
      <xmlPr mapId="43" xpath="/ns1:Root/ns1:M5/ns1:Obligations_P7" xmlDataType="double"/>
    </xmlCellPr>
  </singleXmlCell>
  <singleXmlCell id="530" xr6:uid="{00000000-000C-0000-FFFF-FFFF6B000000}" r="J95" connectionId="0">
    <xmlCellPr id="1" xr6:uid="{00000000-0010-0000-6B00-000001000000}" uniqueName="1">
      <xmlPr mapId="43" xpath="/ns1:Root/ns1:M5/ns1:Obligations_P8" xmlDataType="double"/>
    </xmlCellPr>
  </singleXmlCell>
  <singleXmlCell id="531" xr6:uid="{00000000-000C-0000-FFFF-FFFF6C000000}" r="K95" connectionId="0">
    <xmlCellPr id="1" xr6:uid="{00000000-0010-0000-6C00-000001000000}" uniqueName="1">
      <xmlPr mapId="43" xpath="/ns1:Root/ns1:M5/ns1:Obligations_P9" xmlDataType="double"/>
    </xmlCellPr>
  </singleXmlCell>
  <singleXmlCell id="532" xr6:uid="{00000000-000C-0000-FFFF-FFFF6D000000}" r="L95" connectionId="0">
    <xmlCellPr id="1" xr6:uid="{00000000-0010-0000-6D00-000001000000}" uniqueName="1">
      <xmlPr mapId="43" xpath="/ns1:Root/ns1:M5/ns1:Obligations_P10" xmlDataType="double"/>
    </xmlCellPr>
  </singleXmlCell>
  <singleXmlCell id="533" xr6:uid="{00000000-000C-0000-FFFF-FFFF6E000000}" r="M95" connectionId="0">
    <xmlCellPr id="1" xr6:uid="{00000000-0010-0000-6E00-000001000000}" uniqueName="1">
      <xmlPr mapId="43" xpath="/ns1:Root/ns1:M5/ns1:Obligations_P11" xmlDataType="double"/>
    </xmlCellPr>
  </singleXmlCell>
  <singleXmlCell id="534" xr6:uid="{00000000-000C-0000-FFFF-FFFF6F000000}" r="N95" connectionId="0">
    <xmlCellPr id="1" xr6:uid="{00000000-0010-0000-6F00-000001000000}" uniqueName="1">
      <xmlPr mapId="43" xpath="/ns1:Root/ns1:M5/ns1:Obligations_P12" xmlDataType="double"/>
    </xmlCellPr>
  </singleXmlCell>
  <singleXmlCell id="535" xr6:uid="{00000000-000C-0000-FFFF-FFFF70000000}" r="C96" connectionId="0">
    <xmlCellPr id="1" xr6:uid="{00000000-0010-0000-7000-000001000000}" uniqueName="1">
      <xmlPr mapId="43" xpath="/ns1:Root/ns1:M5/ns1:Expenditures_P1" xmlDataType="double"/>
    </xmlCellPr>
  </singleXmlCell>
  <singleXmlCell id="536" xr6:uid="{00000000-000C-0000-FFFF-FFFF71000000}" r="D96" connectionId="0">
    <xmlCellPr id="1" xr6:uid="{00000000-0010-0000-7100-000001000000}" uniqueName="1">
      <xmlPr mapId="43" xpath="/ns1:Root/ns1:M5/ns1:Expenditures_P2" xmlDataType="double"/>
    </xmlCellPr>
  </singleXmlCell>
  <singleXmlCell id="537" xr6:uid="{00000000-000C-0000-FFFF-FFFF72000000}" r="E96" connectionId="0">
    <xmlCellPr id="1" xr6:uid="{00000000-0010-0000-7200-000001000000}" uniqueName="1">
      <xmlPr mapId="43" xpath="/ns1:Root/ns1:M5/ns1:Expenditures_P3" xmlDataType="double"/>
    </xmlCellPr>
  </singleXmlCell>
  <singleXmlCell id="538" xr6:uid="{00000000-000C-0000-FFFF-FFFF73000000}" r="F96" connectionId="0">
    <xmlCellPr id="1" xr6:uid="{00000000-0010-0000-7300-000001000000}" uniqueName="1">
      <xmlPr mapId="43" xpath="/ns1:Root/ns1:M5/ns1:Expenditures_P4" xmlDataType="double"/>
    </xmlCellPr>
  </singleXmlCell>
  <singleXmlCell id="539" xr6:uid="{00000000-000C-0000-FFFF-FFFF74000000}" r="G96" connectionId="0">
    <xmlCellPr id="1" xr6:uid="{00000000-0010-0000-7400-000001000000}" uniqueName="1">
      <xmlPr mapId="43" xpath="/ns1:Root/ns1:M5/ns1:Expenditures_P5" xmlDataType="double"/>
    </xmlCellPr>
  </singleXmlCell>
  <singleXmlCell id="540" xr6:uid="{00000000-000C-0000-FFFF-FFFF75000000}" r="H96" connectionId="0">
    <xmlCellPr id="1" xr6:uid="{00000000-0010-0000-7500-000001000000}" uniqueName="1">
      <xmlPr mapId="43" xpath="/ns1:Root/ns1:M5/ns1:Expenditures_P6" xmlDataType="double"/>
    </xmlCellPr>
  </singleXmlCell>
  <singleXmlCell id="541" xr6:uid="{00000000-000C-0000-FFFF-FFFF76000000}" r="I96" connectionId="0">
    <xmlCellPr id="1" xr6:uid="{00000000-0010-0000-7600-000001000000}" uniqueName="1">
      <xmlPr mapId="43" xpath="/ns1:Root/ns1:M5/ns1:Expenditures_P7" xmlDataType="double"/>
    </xmlCellPr>
  </singleXmlCell>
  <singleXmlCell id="542" xr6:uid="{00000000-000C-0000-FFFF-FFFF77000000}" r="J96" connectionId="0">
    <xmlCellPr id="1" xr6:uid="{00000000-0010-0000-7700-000001000000}" uniqueName="1">
      <xmlPr mapId="43" xpath="/ns1:Root/ns1:M5/ns1:Expenditures_P8" xmlDataType="double"/>
    </xmlCellPr>
  </singleXmlCell>
  <singleXmlCell id="543" xr6:uid="{00000000-000C-0000-FFFF-FFFF78000000}" r="K96" connectionId="0">
    <xmlCellPr id="1" xr6:uid="{00000000-0010-0000-7800-000001000000}" uniqueName="1">
      <xmlPr mapId="43" xpath="/ns1:Root/ns1:M5/ns1:Expenditures_P9" xmlDataType="double"/>
    </xmlCellPr>
  </singleXmlCell>
  <singleXmlCell id="544" xr6:uid="{00000000-000C-0000-FFFF-FFFF79000000}" r="L96" connectionId="0">
    <xmlCellPr id="1" xr6:uid="{00000000-0010-0000-7900-000001000000}" uniqueName="1">
      <xmlPr mapId="43" xpath="/ns1:Root/ns1:M5/ns1:Expenditures_P10" xmlDataType="double"/>
    </xmlCellPr>
  </singleXmlCell>
  <singleXmlCell id="545" xr6:uid="{00000000-000C-0000-FFFF-FFFF7A000000}" r="M96" connectionId="0">
    <xmlCellPr id="1" xr6:uid="{00000000-0010-0000-7A00-000001000000}" uniqueName="1">
      <xmlPr mapId="43" xpath="/ns1:Root/ns1:M5/ns1:Expenditures_P11" xmlDataType="double"/>
    </xmlCellPr>
  </singleXmlCell>
  <singleXmlCell id="546" xr6:uid="{00000000-000C-0000-FFFF-FFFF7B000000}" r="N96" connectionId="0">
    <xmlCellPr id="1" xr6:uid="{00000000-0010-0000-7B00-000001000000}" uniqueName="1">
      <xmlPr mapId="43" xpath="/ns1:Root/ns1:M5/ns1:Expenditures_P12" xmlDataType="double"/>
    </xmlCellPr>
  </singleXmlCell>
  <singleXmlCell id="547" xr6:uid="{00000000-000C-0000-FFFF-FFFF7C000000}" r="C107" connectionId="0">
    <xmlCellPr id="1" xr6:uid="{00000000-0010-0000-7C00-000001000000}" uniqueName="1">
      <xmlPr mapId="43" xpath="/ns1:Root/ns1:M6/ns1:HIV___AIDS_Products" xmlDataType="string"/>
    </xmlCellPr>
  </singleXmlCell>
  <singleXmlCell id="548" xr6:uid="{00000000-000C-0000-FFFF-FFFF7D000000}" r="D107" connectionId="0">
    <xmlCellPr id="1" xr6:uid="{00000000-0010-0000-7D00-000001000000}" uniqueName="1">
      <xmlPr mapId="43" xpath="/ns1:Root/ns1:M6/ns1:HIV___AIDS__1__Number_of_tablets_per_patient_per_day__Review_country_treatment_guidelines_" xmlDataType="double"/>
    </xmlCellPr>
  </singleXmlCell>
  <singleXmlCell id="549" xr6:uid="{00000000-000C-0000-FFFF-FFFF7E000000}" r="F107" connectionId="0">
    <xmlCellPr id="1" xr6:uid="{00000000-0010-0000-7E00-000001000000}" uniqueName="1">
      <xmlPr mapId="43" xpath="/ns1:Root/ns1:M6/ns1:HIV___AIDS__3__Total_patients_in_treatment" xmlDataType="double"/>
    </xmlCellPr>
  </singleXmlCell>
  <singleXmlCell id="550" xr6:uid="{00000000-000C-0000-FFFF-FFFF7F000000}" r="H107" connectionId="0">
    <xmlCellPr id="1" xr6:uid="{00000000-0010-0000-7F00-000001000000}" uniqueName="1">
      <xmlPr mapId="43" xpath="/ns1:Root/ns1:M6/ns1:HIV___AIDS__5__Current_stock_in_central_warehouse__that_does_not_expire_within_the_next_3_months_" xmlDataType="double"/>
    </xmlCellPr>
  </singleXmlCell>
  <singleXmlCell id="551" xr6:uid="{00000000-000C-0000-FFFF-FFFF80000000}" r="J107" connectionId="0">
    <xmlCellPr id="1" xr6:uid="{00000000-0010-0000-8000-000001000000}" uniqueName="1">
      <xmlPr mapId="43" xpath="/ns1:Root/ns1:M6/ns1:HIV___AIDS__7__Level_of_safety_stock__expressed_in_months_and_defined_by_country__" xmlDataType="double"/>
    </xmlCellPr>
  </singleXmlCell>
  <singleXmlCell id="552" xr6:uid="{00000000-000C-0000-FFFF-FFFF81000000}" r="C108" connectionId="0">
    <xmlCellPr id="1" xr6:uid="{00000000-0010-0000-8100-000001000000}" uniqueName="1">
      <xmlPr mapId="43" xpath="/ns1:Root/ns1:M6/ns1:_Products_1" xmlDataType="string"/>
    </xmlCellPr>
  </singleXmlCell>
  <singleXmlCell id="553" xr6:uid="{00000000-000C-0000-FFFF-FFFF82000000}" r="D108" connectionId="0">
    <xmlCellPr id="1" xr6:uid="{00000000-0010-0000-8200-000001000000}" uniqueName="1">
      <xmlPr mapId="43" xpath="/ns1:Root/ns1:M6/ns1:__1__Number_of_tablets_per_patient_per_day__Review_country_treatment_guidelines__1" xmlDataType="double"/>
    </xmlCellPr>
  </singleXmlCell>
  <singleXmlCell id="554" xr6:uid="{00000000-000C-0000-FFFF-FFFF83000000}" r="F108" connectionId="0">
    <xmlCellPr id="1" xr6:uid="{00000000-0010-0000-8300-000001000000}" uniqueName="1">
      <xmlPr mapId="43" xpath="/ns1:Root/ns1:M6/ns1:__3__Total_patients_in_treatment_1" xmlDataType="double"/>
    </xmlCellPr>
  </singleXmlCell>
  <singleXmlCell id="555" xr6:uid="{00000000-000C-0000-FFFF-FFFF84000000}" r="H108" connectionId="0">
    <xmlCellPr id="1" xr6:uid="{00000000-0010-0000-8400-000001000000}" uniqueName="1">
      <xmlPr mapId="43" xpath="/ns1:Root/ns1:M6/ns1:__5__Current_stock_in_central_warehouse__that_does_not_expire_within_the_next_3_months__1" xmlDataType="double"/>
    </xmlCellPr>
  </singleXmlCell>
  <singleXmlCell id="556" xr6:uid="{00000000-000C-0000-FFFF-FFFF85000000}" r="J108" connectionId="0">
    <xmlCellPr id="1" xr6:uid="{00000000-0010-0000-8500-000001000000}" uniqueName="1">
      <xmlPr mapId="43" xpath="/ns1:Root/ns1:M6/ns1:__7__Level_of_safety_stock__expressed_in_months_and_defined_by_country___1" xmlDataType="double"/>
    </xmlCellPr>
  </singleXmlCell>
  <singleXmlCell id="557" xr6:uid="{00000000-000C-0000-FFFF-FFFF86000000}" r="C109" connectionId="0">
    <xmlCellPr id="1" xr6:uid="{00000000-0010-0000-8600-000001000000}" uniqueName="1">
      <xmlPr mapId="43" xpath="/ns1:Root/ns1:M6/ns1:_Products_2" xmlDataType="string"/>
    </xmlCellPr>
  </singleXmlCell>
  <singleXmlCell id="558" xr6:uid="{00000000-000C-0000-FFFF-FFFF87000000}" r="D109" connectionId="0">
    <xmlCellPr id="1" xr6:uid="{00000000-0010-0000-8700-000001000000}" uniqueName="1">
      <xmlPr mapId="43" xpath="/ns1:Root/ns1:M6/ns1:__1__Number_of_tablets_per_patient_per_day__Review_country_treatment_guidelines__2" xmlDataType="double"/>
    </xmlCellPr>
  </singleXmlCell>
  <singleXmlCell id="559" xr6:uid="{00000000-000C-0000-FFFF-FFFF88000000}" r="F109" connectionId="0">
    <xmlCellPr id="1" xr6:uid="{00000000-0010-0000-8800-000001000000}" uniqueName="1">
      <xmlPr mapId="43" xpath="/ns1:Root/ns1:M6/ns1:__3__Total_patients_in_treatment_2" xmlDataType="double"/>
    </xmlCellPr>
  </singleXmlCell>
  <singleXmlCell id="560" xr6:uid="{00000000-000C-0000-FFFF-FFFF89000000}" r="H109" connectionId="0">
    <xmlCellPr id="1" xr6:uid="{00000000-0010-0000-8900-000001000000}" uniqueName="1">
      <xmlPr mapId="43" xpath="/ns1:Root/ns1:M6/ns1:__5__Current_stock_in_central_warehouse__that_does_not_expire_within_the_next_3_months__2" xmlDataType="double"/>
    </xmlCellPr>
  </singleXmlCell>
  <singleXmlCell id="561" xr6:uid="{00000000-000C-0000-FFFF-FFFF8A000000}" r="J109" connectionId="0">
    <xmlCellPr id="1" xr6:uid="{00000000-0010-0000-8A00-000001000000}" uniqueName="1">
      <xmlPr mapId="43" xpath="/ns1:Root/ns1:M6/ns1:__7__Level_of_safety_stock__expressed_in_months_and_defined_by_country___2" xmlDataType="double"/>
    </xmlCellPr>
  </singleXmlCell>
  <singleXmlCell id="562" xr6:uid="{00000000-000C-0000-FFFF-FFFF8B000000}" r="C110" connectionId="0">
    <xmlCellPr id="1" xr6:uid="{00000000-0010-0000-8B00-000001000000}" uniqueName="1">
      <xmlPr mapId="43" xpath="/ns1:Root/ns1:M6/ns1:_Products" xmlDataType="string"/>
    </xmlCellPr>
  </singleXmlCell>
  <singleXmlCell id="563" xr6:uid="{00000000-000C-0000-FFFF-FFFF8C000000}" r="D110" connectionId="0">
    <xmlCellPr id="1" xr6:uid="{00000000-0010-0000-8C00-000001000000}" uniqueName="1">
      <xmlPr mapId="43" xpath="/ns1:Root/ns1:M6/ns1:__1__Number_of_tablets_per_patient_per_day__Review_country_treatment_guidelines_" xmlDataType="double"/>
    </xmlCellPr>
  </singleXmlCell>
  <singleXmlCell id="564" xr6:uid="{00000000-000C-0000-FFFF-FFFF8D000000}" r="F110" connectionId="0">
    <xmlCellPr id="1" xr6:uid="{00000000-0010-0000-8D00-000001000000}" uniqueName="1">
      <xmlPr mapId="43" xpath="/ns1:Root/ns1:M6/ns1:__3__Total_patients_in_treatment" xmlDataType="double"/>
    </xmlCellPr>
  </singleXmlCell>
  <singleXmlCell id="565" xr6:uid="{00000000-000C-0000-FFFF-FFFF8E000000}" r="H110" connectionId="0">
    <xmlCellPr id="1" xr6:uid="{00000000-0010-0000-8E00-000001000000}" uniqueName="1">
      <xmlPr mapId="43" xpath="/ns1:Root/ns1:M6/ns1:__5__Current_stock_in_central_warehouse__that_does_not_expire_within_the_next_3_months_" xmlDataType="double"/>
    </xmlCellPr>
  </singleXmlCell>
  <singleXmlCell id="566" xr6:uid="{00000000-000C-0000-FFFF-FFFF8F000000}" r="J110" connectionId="0">
    <xmlCellPr id="1" xr6:uid="{00000000-0010-0000-8F00-000001000000}" uniqueName="1">
      <xmlPr mapId="43" xpath="/ns1:Root/ns1:M6/ns1:__7__Level_of_safety_stock__expressed_in_months_and_defined_by_country__" xmlDataType="double"/>
    </xmlCellPr>
  </singleXmlCell>
  <singleXmlCell id="567" xr6:uid="{00000000-000C-0000-FFFF-FFFF90000000}" r="H116" connectionId="0">
    <xmlCellPr id="1" xr6:uid="{00000000-0010-0000-9000-000001000000}" uniqueName="1">
      <xmlPr mapId="43" xpath="/ns1:Root/ns1:Prog/ns1:Target_P1_1" xmlDataType="double"/>
    </xmlCellPr>
  </singleXmlCell>
  <singleXmlCell id="568" xr6:uid="{00000000-000C-0000-FFFF-FFFF91000000}" r="I116" connectionId="0">
    <xmlCellPr id="1" xr6:uid="{00000000-0010-0000-9100-000001000000}" uniqueName="1">
      <xmlPr mapId="43" xpath="/ns1:Root/ns1:Prog/ns1:Target_P2_1" xmlDataType="double"/>
    </xmlCellPr>
  </singleXmlCell>
  <singleXmlCell id="569" xr6:uid="{00000000-000C-0000-FFFF-FFFF92000000}" r="J116" connectionId="0">
    <xmlCellPr id="1" xr6:uid="{00000000-0010-0000-9200-000001000000}" uniqueName="1">
      <xmlPr mapId="43" xpath="/ns1:Root/ns1:Prog/ns1:Target_P3_1" xmlDataType="double"/>
    </xmlCellPr>
  </singleXmlCell>
  <singleXmlCell id="570" xr6:uid="{00000000-000C-0000-FFFF-FFFF93000000}" r="K116" connectionId="0">
    <xmlCellPr id="1" xr6:uid="{00000000-0010-0000-9300-000001000000}" uniqueName="1">
      <xmlPr mapId="43" xpath="/ns1:Root/ns1:Prog/ns1:Target_P4_1" xmlDataType="double"/>
    </xmlCellPr>
  </singleXmlCell>
  <singleXmlCell id="571" xr6:uid="{00000000-000C-0000-FFFF-FFFF94000000}" r="L116" connectionId="0">
    <xmlCellPr id="1" xr6:uid="{00000000-0010-0000-9400-000001000000}" uniqueName="1">
      <xmlPr mapId="43" xpath="/ns1:Root/ns1:Prog/ns1:Target_P5_1" xmlDataType="double"/>
    </xmlCellPr>
  </singleXmlCell>
  <singleXmlCell id="572" xr6:uid="{00000000-000C-0000-FFFF-FFFF95000000}" r="M116" connectionId="0">
    <xmlCellPr id="1" xr6:uid="{00000000-0010-0000-9500-000001000000}" uniqueName="1">
      <xmlPr mapId="43" xpath="/ns1:Root/ns1:Prog/ns1:Target_P6_1" xmlDataType="double"/>
    </xmlCellPr>
  </singleXmlCell>
  <singleXmlCell id="573" xr6:uid="{00000000-000C-0000-FFFF-FFFF96000000}" r="N116" connectionId="0">
    <xmlCellPr id="1" xr6:uid="{00000000-0010-0000-9600-000001000000}" uniqueName="1">
      <xmlPr mapId="43" xpath="/ns1:Root/ns1:Prog/ns1:Target_P7_1" xmlDataType="double"/>
    </xmlCellPr>
  </singleXmlCell>
  <singleXmlCell id="574" xr6:uid="{00000000-000C-0000-FFFF-FFFF97000000}" r="O116" connectionId="0">
    <xmlCellPr id="1" xr6:uid="{00000000-0010-0000-9700-000001000000}" uniqueName="1">
      <xmlPr mapId="43" xpath="/ns1:Root/ns1:Prog/ns1:Target_P8_1" xmlDataType="double"/>
    </xmlCellPr>
  </singleXmlCell>
  <singleXmlCell id="575" xr6:uid="{00000000-000C-0000-FFFF-FFFF98000000}" r="P116" connectionId="0">
    <xmlCellPr id="1" xr6:uid="{00000000-0010-0000-9800-000001000000}" uniqueName="1">
      <xmlPr mapId="43" xpath="/ns1:Root/ns1:Prog/ns1:Target_P9_1" xmlDataType="double"/>
    </xmlCellPr>
  </singleXmlCell>
  <singleXmlCell id="576" xr6:uid="{00000000-000C-0000-FFFF-FFFF99000000}" r="Q116" connectionId="0">
    <xmlCellPr id="1" xr6:uid="{00000000-0010-0000-9900-000001000000}" uniqueName="1">
      <xmlPr mapId="43" xpath="/ns1:Root/ns1:Prog/ns1:Target_P10_1" xmlDataType="double"/>
    </xmlCellPr>
  </singleXmlCell>
  <singleXmlCell id="577" xr6:uid="{00000000-000C-0000-FFFF-FFFF9A000000}" r="R116" connectionId="0">
    <xmlCellPr id="1" xr6:uid="{00000000-0010-0000-9A00-000001000000}" uniqueName="1">
      <xmlPr mapId="43" xpath="/ns1:Root/ns1:Prog/ns1:Target_P11_1" xmlDataType="double"/>
    </xmlCellPr>
  </singleXmlCell>
  <singleXmlCell id="578" xr6:uid="{00000000-000C-0000-FFFF-FFFF9B000000}" r="S116" connectionId="0">
    <xmlCellPr id="1" xr6:uid="{00000000-0010-0000-9B00-000001000000}" uniqueName="1">
      <xmlPr mapId="43" xpath="/ns1:Root/ns1:Prog/ns1:Target_P12_1" xmlDataType="double"/>
    </xmlCellPr>
  </singleXmlCell>
  <singleXmlCell id="579" xr6:uid="{00000000-000C-0000-FFFF-FFFF9C000000}" r="H117" connectionId="0">
    <xmlCellPr id="1" xr6:uid="{00000000-0010-0000-9C00-000001000000}" uniqueName="1">
      <xmlPr mapId="43" xpath="/ns1:Root/ns1:Prog/ns1:Achieved__P1_1" xmlDataType="double"/>
    </xmlCellPr>
  </singleXmlCell>
  <singleXmlCell id="580" xr6:uid="{00000000-000C-0000-FFFF-FFFF9D000000}" r="I117" connectionId="0">
    <xmlCellPr id="1" xr6:uid="{00000000-0010-0000-9D00-000001000000}" uniqueName="1">
      <xmlPr mapId="43" xpath="/ns1:Root/ns1:Prog/ns1:Achieved__P2_1" xmlDataType="double"/>
    </xmlCellPr>
  </singleXmlCell>
  <singleXmlCell id="581" xr6:uid="{00000000-000C-0000-FFFF-FFFF9E000000}" r="J117" connectionId="0">
    <xmlCellPr id="1" xr6:uid="{00000000-0010-0000-9E00-000001000000}" uniqueName="1">
      <xmlPr mapId="43" xpath="/ns1:Root/ns1:Prog/ns1:Achieved__P3_1" xmlDataType="double"/>
    </xmlCellPr>
  </singleXmlCell>
  <singleXmlCell id="582" xr6:uid="{00000000-000C-0000-FFFF-FFFF9F000000}" r="K117" connectionId="0">
    <xmlCellPr id="1" xr6:uid="{00000000-0010-0000-9F00-000001000000}" uniqueName="1">
      <xmlPr mapId="43" xpath="/ns1:Root/ns1:Prog/ns1:Achieved__P4_1" xmlDataType="double"/>
    </xmlCellPr>
  </singleXmlCell>
  <singleXmlCell id="583" xr6:uid="{00000000-000C-0000-FFFF-FFFFA0000000}" r="L117" connectionId="0">
    <xmlCellPr id="1" xr6:uid="{00000000-0010-0000-A000-000001000000}" uniqueName="1">
      <xmlPr mapId="43" xpath="/ns1:Root/ns1:Prog/ns1:Achieved__P5_1" xmlDataType="string"/>
    </xmlCellPr>
  </singleXmlCell>
  <singleXmlCell id="584" xr6:uid="{00000000-000C-0000-FFFF-FFFFA1000000}" r="M117" connectionId="0">
    <xmlCellPr id="1" xr6:uid="{00000000-0010-0000-A100-000001000000}" uniqueName="1">
      <xmlPr mapId="43" xpath="/ns1:Root/ns1:Prog/ns1:Achieved__P6_1" xmlDataType="string"/>
    </xmlCellPr>
  </singleXmlCell>
  <singleXmlCell id="585" xr6:uid="{00000000-000C-0000-FFFF-FFFFA2000000}" r="N117" connectionId="0">
    <xmlCellPr id="1" xr6:uid="{00000000-0010-0000-A200-000001000000}" uniqueName="1">
      <xmlPr mapId="43" xpath="/ns1:Root/ns1:Prog/ns1:Achieved__P7_1" xmlDataType="string"/>
    </xmlCellPr>
  </singleXmlCell>
  <singleXmlCell id="586" xr6:uid="{00000000-000C-0000-FFFF-FFFFA3000000}" r="O117" connectionId="0">
    <xmlCellPr id="1" xr6:uid="{00000000-0010-0000-A300-000001000000}" uniqueName="1">
      <xmlPr mapId="43" xpath="/ns1:Root/ns1:Prog/ns1:Achieved__P8_1" xmlDataType="string"/>
    </xmlCellPr>
  </singleXmlCell>
  <singleXmlCell id="587" xr6:uid="{00000000-000C-0000-FFFF-FFFFA4000000}" r="P117" connectionId="0">
    <xmlCellPr id="1" xr6:uid="{00000000-0010-0000-A400-000001000000}" uniqueName="1">
      <xmlPr mapId="43" xpath="/ns1:Root/ns1:Prog/ns1:Achieved__P9_1" xmlDataType="string"/>
    </xmlCellPr>
  </singleXmlCell>
  <singleXmlCell id="588" xr6:uid="{00000000-000C-0000-FFFF-FFFFA5000000}" r="Q117" connectionId="0">
    <xmlCellPr id="1" xr6:uid="{00000000-0010-0000-A500-000001000000}" uniqueName="1">
      <xmlPr mapId="43" xpath="/ns1:Root/ns1:Prog/ns1:Achieved__P10_1" xmlDataType="string"/>
    </xmlCellPr>
  </singleXmlCell>
  <singleXmlCell id="589" xr6:uid="{00000000-000C-0000-FFFF-FFFFA6000000}" r="R117" connectionId="0">
    <xmlCellPr id="1" xr6:uid="{00000000-0010-0000-A600-000001000000}" uniqueName="1">
      <xmlPr mapId="43" xpath="/ns1:Root/ns1:Prog/ns1:Achieved__P11_1" xmlDataType="string"/>
    </xmlCellPr>
  </singleXmlCell>
  <singleXmlCell id="590" xr6:uid="{00000000-000C-0000-FFFF-FFFFA7000000}" r="S117" connectionId="0">
    <xmlCellPr id="1" xr6:uid="{00000000-0010-0000-A700-000001000000}" uniqueName="1">
      <xmlPr mapId="43" xpath="/ns1:Root/ns1:Prog/ns1:Achieved__P12_1" xmlDataType="string"/>
    </xmlCellPr>
  </singleXmlCell>
  <singleXmlCell id="599" xr6:uid="{00000000-000C-0000-FFFF-FFFFA8000000}" r="Q118" connectionId="0">
    <xmlCellPr id="1" xr6:uid="{00000000-0010-0000-A800-000001000000}" uniqueName="1">
      <xmlPr mapId="43" xpath="/ns1:Root/ns1:Prog/ns1:Target_P10_2" xmlDataType="double"/>
    </xmlCellPr>
  </singleXmlCell>
  <singleXmlCell id="600" xr6:uid="{00000000-000C-0000-FFFF-FFFFA9000000}" r="R118" connectionId="0">
    <xmlCellPr id="1" xr6:uid="{00000000-0010-0000-A900-000001000000}" uniqueName="1">
      <xmlPr mapId="43" xpath="/ns1:Root/ns1:Prog/ns1:Target_P11_2" xmlDataType="double"/>
    </xmlCellPr>
  </singleXmlCell>
  <singleXmlCell id="601" xr6:uid="{00000000-000C-0000-FFFF-FFFFAA000000}" r="S118" connectionId="0">
    <xmlCellPr id="1" xr6:uid="{00000000-0010-0000-AA00-000001000000}" uniqueName="1">
      <xmlPr mapId="43" xpath="/ns1:Root/ns1:Prog/ns1:Target_P12_2" xmlDataType="double"/>
    </xmlCellPr>
  </singleXmlCell>
  <singleXmlCell id="611" xr6:uid="{00000000-000C-0000-FFFF-FFFFAB000000}" r="Q119" connectionId="0">
    <xmlCellPr id="1" xr6:uid="{00000000-0010-0000-AB00-000001000000}" uniqueName="1">
      <xmlPr mapId="43" xpath="/ns1:Root/ns1:Prog/ns1:Achieved__P10_2" xmlDataType="string"/>
    </xmlCellPr>
  </singleXmlCell>
  <singleXmlCell id="612" xr6:uid="{00000000-000C-0000-FFFF-FFFFAC000000}" r="R119" connectionId="0">
    <xmlCellPr id="1" xr6:uid="{00000000-0010-0000-AC00-000001000000}" uniqueName="1">
      <xmlPr mapId="43" xpath="/ns1:Root/ns1:Prog/ns1:Achieved__P11_2" xmlDataType="string"/>
    </xmlCellPr>
  </singleXmlCell>
  <singleXmlCell id="613" xr6:uid="{00000000-000C-0000-FFFF-FFFFAD000000}" r="S119" connectionId="0">
    <xmlCellPr id="1" xr6:uid="{00000000-0010-0000-AD00-000001000000}" uniqueName="1">
      <xmlPr mapId="43" xpath="/ns1:Root/ns1:Prog/ns1:Achieved__P12_2" xmlDataType="string"/>
    </xmlCellPr>
  </singleXmlCell>
  <singleXmlCell id="662" xr6:uid="{00000000-000C-0000-FFFF-FFFFAE000000}" r="H122" connectionId="0">
    <xmlCellPr id="1" xr6:uid="{00000000-0010-0000-AE00-000001000000}" uniqueName="1">
      <xmlPr mapId="43" xpath="/ns1:Root/ns1:Prog/ns1:Target_P1_5" xmlDataType="double"/>
    </xmlCellPr>
  </singleXmlCell>
  <singleXmlCell id="663" xr6:uid="{00000000-000C-0000-FFFF-FFFFAF000000}" r="I122" connectionId="0">
    <xmlCellPr id="1" xr6:uid="{00000000-0010-0000-AF00-000001000000}" uniqueName="1">
      <xmlPr mapId="43" xpath="/ns1:Root/ns1:Prog/ns1:Target_P2_5" xmlDataType="double"/>
    </xmlCellPr>
  </singleXmlCell>
  <singleXmlCell id="664" xr6:uid="{00000000-000C-0000-FFFF-FFFFB0000000}" r="J122" connectionId="0">
    <xmlCellPr id="1" xr6:uid="{00000000-0010-0000-B000-000001000000}" uniqueName="1">
      <xmlPr mapId="43" xpath="/ns1:Root/ns1:Prog/ns1:Target_P3_5" xmlDataType="double"/>
    </xmlCellPr>
  </singleXmlCell>
  <singleXmlCell id="665" xr6:uid="{00000000-000C-0000-FFFF-FFFFB1000000}" r="K122" connectionId="0">
    <xmlCellPr id="1" xr6:uid="{00000000-0010-0000-B100-000001000000}" uniqueName="1">
      <xmlPr mapId="43" xpath="/ns1:Root/ns1:Prog/ns1:Target_P4_5" xmlDataType="double"/>
    </xmlCellPr>
  </singleXmlCell>
  <singleXmlCell id="666" xr6:uid="{00000000-000C-0000-FFFF-FFFFB2000000}" r="L122" connectionId="0">
    <xmlCellPr id="1" xr6:uid="{00000000-0010-0000-B200-000001000000}" uniqueName="1">
      <xmlPr mapId="43" xpath="/ns1:Root/ns1:Prog/ns1:Target_P5_5" xmlDataType="double"/>
    </xmlCellPr>
  </singleXmlCell>
  <singleXmlCell id="667" xr6:uid="{00000000-000C-0000-FFFF-FFFFB3000000}" r="M122" connectionId="0">
    <xmlCellPr id="1" xr6:uid="{00000000-0010-0000-B300-000001000000}" uniqueName="1">
      <xmlPr mapId="43" xpath="/ns1:Root/ns1:Prog/ns1:Target_P6_5" xmlDataType="double"/>
    </xmlCellPr>
  </singleXmlCell>
  <singleXmlCell id="668" xr6:uid="{00000000-000C-0000-FFFF-FFFFB4000000}" r="N122" connectionId="0">
    <xmlCellPr id="1" xr6:uid="{00000000-0010-0000-B400-000001000000}" uniqueName="1">
      <xmlPr mapId="43" xpath="/ns1:Root/ns1:Prog/ns1:Target_P7_5" xmlDataType="double"/>
    </xmlCellPr>
  </singleXmlCell>
  <singleXmlCell id="669" xr6:uid="{00000000-000C-0000-FFFF-FFFFB5000000}" r="O122" connectionId="0">
    <xmlCellPr id="1" xr6:uid="{00000000-0010-0000-B500-000001000000}" uniqueName="1">
      <xmlPr mapId="43" xpath="/ns1:Root/ns1:Prog/ns1:Target_P8_5" xmlDataType="double"/>
    </xmlCellPr>
  </singleXmlCell>
  <singleXmlCell id="670" xr6:uid="{00000000-000C-0000-FFFF-FFFFB6000000}" r="P122" connectionId="0">
    <xmlCellPr id="1" xr6:uid="{00000000-0010-0000-B600-000001000000}" uniqueName="1">
      <xmlPr mapId="43" xpath="/ns1:Root/ns1:Prog/ns1:Target_P9_5" xmlDataType="double"/>
    </xmlCellPr>
  </singleXmlCell>
  <singleXmlCell id="671" xr6:uid="{00000000-000C-0000-FFFF-FFFFB7000000}" r="Q122" connectionId="0">
    <xmlCellPr id="1" xr6:uid="{00000000-0010-0000-B700-000001000000}" uniqueName="1">
      <xmlPr mapId="43" xpath="/ns1:Root/ns1:Prog/ns1:Target_P10_5" xmlDataType="double"/>
    </xmlCellPr>
  </singleXmlCell>
  <singleXmlCell id="672" xr6:uid="{00000000-000C-0000-FFFF-FFFFB8000000}" r="R122" connectionId="0">
    <xmlCellPr id="1" xr6:uid="{00000000-0010-0000-B800-000001000000}" uniqueName="1">
      <xmlPr mapId="43" xpath="/ns1:Root/ns1:Prog/ns1:Target_P11_5" xmlDataType="double"/>
    </xmlCellPr>
  </singleXmlCell>
  <singleXmlCell id="673" xr6:uid="{00000000-000C-0000-FFFF-FFFFB9000000}" r="S122" connectionId="0">
    <xmlCellPr id="1" xr6:uid="{00000000-0010-0000-B900-000001000000}" uniqueName="1">
      <xmlPr mapId="43" xpath="/ns1:Root/ns1:Prog/ns1:Target_P12_5" xmlDataType="double"/>
    </xmlCellPr>
  </singleXmlCell>
  <singleXmlCell id="674" xr6:uid="{00000000-000C-0000-FFFF-FFFFBA000000}" r="H123" connectionId="0">
    <xmlCellPr id="1" xr6:uid="{00000000-0010-0000-BA00-000001000000}" uniqueName="1">
      <xmlPr mapId="43" xpath="/ns1:Root/ns1:Prog/ns1:Achieved__P1_5" xmlDataType="double"/>
    </xmlCellPr>
  </singleXmlCell>
  <singleXmlCell id="675" xr6:uid="{00000000-000C-0000-FFFF-FFFFBB000000}" r="I123" connectionId="0">
    <xmlCellPr id="1" xr6:uid="{00000000-0010-0000-BB00-000001000000}" uniqueName="1">
      <xmlPr mapId="43" xpath="/ns1:Root/ns1:Prog/ns1:Achieved__P2_5" xmlDataType="double"/>
    </xmlCellPr>
  </singleXmlCell>
  <singleXmlCell id="676" xr6:uid="{00000000-000C-0000-FFFF-FFFFBC000000}" r="J123" connectionId="0">
    <xmlCellPr id="1" xr6:uid="{00000000-0010-0000-BC00-000001000000}" uniqueName="1">
      <xmlPr mapId="43" xpath="/ns1:Root/ns1:Prog/ns1:Achieved__P3_5" xmlDataType="double"/>
    </xmlCellPr>
  </singleXmlCell>
  <singleXmlCell id="677" xr6:uid="{00000000-000C-0000-FFFF-FFFFBD000000}" r="K123" connectionId="0">
    <xmlCellPr id="1" xr6:uid="{00000000-0010-0000-BD00-000001000000}" uniqueName="1">
      <xmlPr mapId="43" xpath="/ns1:Root/ns1:Prog/ns1:Achieved__P4_5" xmlDataType="double"/>
    </xmlCellPr>
  </singleXmlCell>
  <singleXmlCell id="678" xr6:uid="{00000000-000C-0000-FFFF-FFFFBE000000}" r="L123" connectionId="0">
    <xmlCellPr id="1" xr6:uid="{00000000-0010-0000-BE00-000001000000}" uniqueName="1">
      <xmlPr mapId="43" xpath="/ns1:Root/ns1:Prog/ns1:Achieved__P5_5" xmlDataType="string"/>
    </xmlCellPr>
  </singleXmlCell>
  <singleXmlCell id="679" xr6:uid="{00000000-000C-0000-FFFF-FFFFBF000000}" r="M123" connectionId="0">
    <xmlCellPr id="1" xr6:uid="{00000000-0010-0000-BF00-000001000000}" uniqueName="1">
      <xmlPr mapId="43" xpath="/ns1:Root/ns1:Prog/ns1:Achieved__P6_5" xmlDataType="string"/>
    </xmlCellPr>
  </singleXmlCell>
  <singleXmlCell id="680" xr6:uid="{00000000-000C-0000-FFFF-FFFFC0000000}" r="N123" connectionId="0">
    <xmlCellPr id="1" xr6:uid="{00000000-0010-0000-C000-000001000000}" uniqueName="1">
      <xmlPr mapId="43" xpath="/ns1:Root/ns1:Prog/ns1:Achieved__P7_5" xmlDataType="string"/>
    </xmlCellPr>
  </singleXmlCell>
  <singleXmlCell id="681" xr6:uid="{00000000-000C-0000-FFFF-FFFFC1000000}" r="O123" connectionId="0">
    <xmlCellPr id="1" xr6:uid="{00000000-0010-0000-C100-000001000000}" uniqueName="1">
      <xmlPr mapId="43" xpath="/ns1:Root/ns1:Prog/ns1:Achieved__P8_5" xmlDataType="string"/>
    </xmlCellPr>
  </singleXmlCell>
  <singleXmlCell id="682" xr6:uid="{00000000-000C-0000-FFFF-FFFFC2000000}" r="P123" connectionId="0">
    <xmlCellPr id="1" xr6:uid="{00000000-0010-0000-C200-000001000000}" uniqueName="1">
      <xmlPr mapId="43" xpath="/ns1:Root/ns1:Prog/ns1:Achieved__P9_5" xmlDataType="string"/>
    </xmlCellPr>
  </singleXmlCell>
  <singleXmlCell id="683" xr6:uid="{00000000-000C-0000-FFFF-FFFFC3000000}" r="Q123" connectionId="0">
    <xmlCellPr id="1" xr6:uid="{00000000-0010-0000-C300-000001000000}" uniqueName="1">
      <xmlPr mapId="43" xpath="/ns1:Root/ns1:Prog/ns1:Achieved__P10_5" xmlDataType="string"/>
    </xmlCellPr>
  </singleXmlCell>
  <singleXmlCell id="684" xr6:uid="{00000000-000C-0000-FFFF-FFFFC4000000}" r="R123" connectionId="0">
    <xmlCellPr id="1" xr6:uid="{00000000-0010-0000-C400-000001000000}" uniqueName="1">
      <xmlPr mapId="43" xpath="/ns1:Root/ns1:Prog/ns1:Achieved__P11_5" xmlDataType="string"/>
    </xmlCellPr>
  </singleXmlCell>
  <singleXmlCell id="685" xr6:uid="{00000000-000C-0000-FFFF-FFFFC5000000}" r="S123" connectionId="0">
    <xmlCellPr id="1" xr6:uid="{00000000-0010-0000-C500-000001000000}" uniqueName="1">
      <xmlPr mapId="43" xpath="/ns1:Root/ns1:Prog/ns1:Achieved__P12_5" xmlDataType="string"/>
    </xmlCellPr>
  </singleXmlCell>
  <singleXmlCell id="686" xr6:uid="{00000000-000C-0000-FFFF-FFFFC6000000}" r="H124" connectionId="0">
    <xmlCellPr id="1" xr6:uid="{00000000-0010-0000-C600-000001000000}" uniqueName="1">
      <xmlPr mapId="43" xpath="/ns1:Root/ns1:Prog/ns1:Target_P1_6" xmlDataType="double"/>
    </xmlCellPr>
  </singleXmlCell>
  <singleXmlCell id="687" xr6:uid="{00000000-000C-0000-FFFF-FFFFC7000000}" r="I124" connectionId="0">
    <xmlCellPr id="1" xr6:uid="{00000000-0010-0000-C700-000001000000}" uniqueName="1">
      <xmlPr mapId="43" xpath="/ns1:Root/ns1:Prog/ns1:Target_P2_6" xmlDataType="double"/>
    </xmlCellPr>
  </singleXmlCell>
  <singleXmlCell id="688" xr6:uid="{00000000-000C-0000-FFFF-FFFFC8000000}" r="J124" connectionId="0">
    <xmlCellPr id="1" xr6:uid="{00000000-0010-0000-C800-000001000000}" uniqueName="1">
      <xmlPr mapId="43" xpath="/ns1:Root/ns1:Prog/ns1:Target_P3_6" xmlDataType="double"/>
    </xmlCellPr>
  </singleXmlCell>
  <singleXmlCell id="689" xr6:uid="{00000000-000C-0000-FFFF-FFFFC9000000}" r="K124" connectionId="0">
    <xmlCellPr id="1" xr6:uid="{00000000-0010-0000-C900-000001000000}" uniqueName="1">
      <xmlPr mapId="43" xpath="/ns1:Root/ns1:Prog/ns1:Target_P4_6" xmlDataType="double"/>
    </xmlCellPr>
  </singleXmlCell>
  <singleXmlCell id="690" xr6:uid="{00000000-000C-0000-FFFF-FFFFCA000000}" r="L124" connectionId="0">
    <xmlCellPr id="1" xr6:uid="{00000000-0010-0000-CA00-000001000000}" uniqueName="1">
      <xmlPr mapId="43" xpath="/ns1:Root/ns1:Prog/ns1:Target_P5_6" xmlDataType="double"/>
    </xmlCellPr>
  </singleXmlCell>
  <singleXmlCell id="691" xr6:uid="{00000000-000C-0000-FFFF-FFFFCB000000}" r="M124" connectionId="0">
    <xmlCellPr id="1" xr6:uid="{00000000-0010-0000-CB00-000001000000}" uniqueName="1">
      <xmlPr mapId="43" xpath="/ns1:Root/ns1:Prog/ns1:Target_P6_6" xmlDataType="double"/>
    </xmlCellPr>
  </singleXmlCell>
  <singleXmlCell id="692" xr6:uid="{00000000-000C-0000-FFFF-FFFFCC000000}" r="N124" connectionId="0">
    <xmlCellPr id="1" xr6:uid="{00000000-0010-0000-CC00-000001000000}" uniqueName="1">
      <xmlPr mapId="43" xpath="/ns1:Root/ns1:Prog/ns1:Target_P7_6" xmlDataType="double"/>
    </xmlCellPr>
  </singleXmlCell>
  <singleXmlCell id="693" xr6:uid="{00000000-000C-0000-FFFF-FFFFCD000000}" r="O124" connectionId="0">
    <xmlCellPr id="1" xr6:uid="{00000000-0010-0000-CD00-000001000000}" uniqueName="1">
      <xmlPr mapId="43" xpath="/ns1:Root/ns1:Prog/ns1:Target_P8_6" xmlDataType="double"/>
    </xmlCellPr>
  </singleXmlCell>
  <singleXmlCell id="694" xr6:uid="{00000000-000C-0000-FFFF-FFFFCE000000}" r="P124" connectionId="0">
    <xmlCellPr id="1" xr6:uid="{00000000-0010-0000-CE00-000001000000}" uniqueName="1">
      <xmlPr mapId="43" xpath="/ns1:Root/ns1:Prog/ns1:Target_P9_6" xmlDataType="double"/>
    </xmlCellPr>
  </singleXmlCell>
  <singleXmlCell id="695" xr6:uid="{00000000-000C-0000-FFFF-FFFFCF000000}" r="Q124" connectionId="0">
    <xmlCellPr id="1" xr6:uid="{00000000-0010-0000-CF00-000001000000}" uniqueName="1">
      <xmlPr mapId="43" xpath="/ns1:Root/ns1:Prog/ns1:Target_P10_6" xmlDataType="double"/>
    </xmlCellPr>
  </singleXmlCell>
  <singleXmlCell id="696" xr6:uid="{00000000-000C-0000-FFFF-FFFFD0000000}" r="R124" connectionId="0">
    <xmlCellPr id="1" xr6:uid="{00000000-0010-0000-D000-000001000000}" uniqueName="1">
      <xmlPr mapId="43" xpath="/ns1:Root/ns1:Prog/ns1:Target_P11_6" xmlDataType="double"/>
    </xmlCellPr>
  </singleXmlCell>
  <singleXmlCell id="697" xr6:uid="{00000000-000C-0000-FFFF-FFFFD1000000}" r="S124" connectionId="0">
    <xmlCellPr id="1" xr6:uid="{00000000-0010-0000-D100-000001000000}" uniqueName="1">
      <xmlPr mapId="43" xpath="/ns1:Root/ns1:Prog/ns1:Target_P12_6" xmlDataType="double"/>
    </xmlCellPr>
  </singleXmlCell>
  <singleXmlCell id="698" xr6:uid="{00000000-000C-0000-FFFF-FFFFD2000000}" r="H125" connectionId="0">
    <xmlCellPr id="1" xr6:uid="{00000000-0010-0000-D200-000001000000}" uniqueName="1">
      <xmlPr mapId="43" xpath="/ns1:Root/ns1:Prog/ns1:Achieved__P1_6" xmlDataType="double"/>
    </xmlCellPr>
  </singleXmlCell>
  <singleXmlCell id="699" xr6:uid="{00000000-000C-0000-FFFF-FFFFD3000000}" r="I125" connectionId="0">
    <xmlCellPr id="1" xr6:uid="{00000000-0010-0000-D300-000001000000}" uniqueName="1">
      <xmlPr mapId="43" xpath="/ns1:Root/ns1:Prog/ns1:Achieved__P2_6" xmlDataType="double"/>
    </xmlCellPr>
  </singleXmlCell>
  <singleXmlCell id="700" xr6:uid="{00000000-000C-0000-FFFF-FFFFD4000000}" r="J125" connectionId="0">
    <xmlCellPr id="1" xr6:uid="{00000000-0010-0000-D400-000001000000}" uniqueName="1">
      <xmlPr mapId="43" xpath="/ns1:Root/ns1:Prog/ns1:Achieved__P3_6" xmlDataType="double"/>
    </xmlCellPr>
  </singleXmlCell>
  <singleXmlCell id="701" xr6:uid="{00000000-000C-0000-FFFF-FFFFD5000000}" r="K125" connectionId="0">
    <xmlCellPr id="1" xr6:uid="{00000000-0010-0000-D500-000001000000}" uniqueName="1">
      <xmlPr mapId="43" xpath="/ns1:Root/ns1:Prog/ns1:Achieved__P4_6" xmlDataType="double"/>
    </xmlCellPr>
  </singleXmlCell>
  <singleXmlCell id="702" xr6:uid="{00000000-000C-0000-FFFF-FFFFD6000000}" r="L125" connectionId="0">
    <xmlCellPr id="1" xr6:uid="{00000000-0010-0000-D600-000001000000}" uniqueName="1">
      <xmlPr mapId="43" xpath="/ns1:Root/ns1:Prog/ns1:Achieved__P5_6" xmlDataType="string"/>
    </xmlCellPr>
  </singleXmlCell>
  <singleXmlCell id="703" xr6:uid="{00000000-000C-0000-FFFF-FFFFD7000000}" r="M125" connectionId="0">
    <xmlCellPr id="1" xr6:uid="{00000000-0010-0000-D700-000001000000}" uniqueName="1">
      <xmlPr mapId="43" xpath="/ns1:Root/ns1:Prog/ns1:Achieved__P6_6" xmlDataType="string"/>
    </xmlCellPr>
  </singleXmlCell>
  <singleXmlCell id="704" xr6:uid="{00000000-000C-0000-FFFF-FFFFD8000000}" r="N125" connectionId="0">
    <xmlCellPr id="1" xr6:uid="{00000000-0010-0000-D800-000001000000}" uniqueName="1">
      <xmlPr mapId="43" xpath="/ns1:Root/ns1:Prog/ns1:Achieved__P7_6" xmlDataType="string"/>
    </xmlCellPr>
  </singleXmlCell>
  <singleXmlCell id="705" xr6:uid="{00000000-000C-0000-FFFF-FFFFD9000000}" r="O125" connectionId="0">
    <xmlCellPr id="1" xr6:uid="{00000000-0010-0000-D900-000001000000}" uniqueName="1">
      <xmlPr mapId="43" xpath="/ns1:Root/ns1:Prog/ns1:Achieved__P8_6" xmlDataType="string"/>
    </xmlCellPr>
  </singleXmlCell>
  <singleXmlCell id="706" xr6:uid="{00000000-000C-0000-FFFF-FFFFDA000000}" r="P125" connectionId="0">
    <xmlCellPr id="1" xr6:uid="{00000000-0010-0000-DA00-000001000000}" uniqueName="1">
      <xmlPr mapId="43" xpath="/ns1:Root/ns1:Prog/ns1:Achieved__P9_6" xmlDataType="string"/>
    </xmlCellPr>
  </singleXmlCell>
  <singleXmlCell id="707" xr6:uid="{00000000-000C-0000-FFFF-FFFFDB000000}" r="Q125" connectionId="0">
    <xmlCellPr id="1" xr6:uid="{00000000-0010-0000-DB00-000001000000}" uniqueName="1">
      <xmlPr mapId="43" xpath="/ns1:Root/ns1:Prog/ns1:Achieved__P10_6" xmlDataType="string"/>
    </xmlCellPr>
  </singleXmlCell>
  <singleXmlCell id="708" xr6:uid="{00000000-000C-0000-FFFF-FFFFDC000000}" r="R125" connectionId="0">
    <xmlCellPr id="1" xr6:uid="{00000000-0010-0000-DC00-000001000000}" uniqueName="1">
      <xmlPr mapId="43" xpath="/ns1:Root/ns1:Prog/ns1:Achieved__P11_6" xmlDataType="string"/>
    </xmlCellPr>
  </singleXmlCell>
  <singleXmlCell id="709" xr6:uid="{00000000-000C-0000-FFFF-FFFFDD000000}" r="S125" connectionId="0">
    <xmlCellPr id="1" xr6:uid="{00000000-0010-0000-DD00-000001000000}" uniqueName="1">
      <xmlPr mapId="43" xpath="/ns1:Root/ns1:Prog/ns1:Achieved__P12_6" xmlDataType="string"/>
    </xmlCellPr>
  </singleXmlCell>
  <singleXmlCell id="807" xr6:uid="{00000000-000C-0000-FFFF-FFFFDE000000}" r="B116" connectionId="0">
    <xmlCellPr id="1" xr6:uid="{00000000-0010-0000-DE00-000001000000}" uniqueName="1">
      <xmlPr mapId="43" xpath="/ns1:Root/ns1:P1" xmlDataType="string"/>
    </xmlCellPr>
  </singleXmlCell>
  <singleXmlCell id="808" xr6:uid="{00000000-000C-0000-FFFF-FFFFDF000000}" r="E116" connectionId="0">
    <xmlCellPr id="1" xr6:uid="{00000000-0010-0000-DF00-000001000000}" uniqueName="1">
      <xmlPr mapId="43" xpath="/ns1:Root/ns1:P1_Code" xmlDataType="double"/>
    </xmlCellPr>
  </singleXmlCell>
  <singleXmlCell id="809" xr6:uid="{00000000-000C-0000-FFFF-FFFFE0000000}" r="F116" connectionId="0">
    <xmlCellPr id="1" xr6:uid="{00000000-0010-0000-E000-000001000000}" uniqueName="1">
      <xmlPr mapId="43" xpath="/ns1:Root/ns1:P1_Tied" xmlDataType="string"/>
    </xmlCellPr>
  </singleXmlCell>
  <singleXmlCell id="810" xr6:uid="{00000000-000C-0000-FFFF-FFFFE1000000}" r="B118" connectionId="0">
    <xmlCellPr id="1" xr6:uid="{00000000-0010-0000-E100-000001000000}" uniqueName="1">
      <xmlPr mapId="43" xpath="/ns1:Root/ns1:P2" xmlDataType="string"/>
    </xmlCellPr>
  </singleXmlCell>
  <singleXmlCell id="811" xr6:uid="{00000000-000C-0000-FFFF-FFFFE2000000}" r="E118" connectionId="0">
    <xmlCellPr id="1" xr6:uid="{00000000-0010-0000-E200-000001000000}" uniqueName="1">
      <xmlPr mapId="43" xpath="/ns1:Root/ns1:P2_Code" xmlDataType="double"/>
    </xmlCellPr>
  </singleXmlCell>
  <singleXmlCell id="812" xr6:uid="{00000000-000C-0000-FFFF-FFFFE3000000}" r="F118" connectionId="0">
    <xmlCellPr id="1" xr6:uid="{00000000-0010-0000-E300-000001000000}" uniqueName="1">
      <xmlPr mapId="43" xpath="/ns1:Root/ns1:P2_Tied" xmlDataType="string"/>
    </xmlCellPr>
  </singleXmlCell>
  <singleXmlCell id="819" xr6:uid="{00000000-000C-0000-FFFF-FFFFE4000000}" r="B122" connectionId="0">
    <xmlCellPr id="1" xr6:uid="{00000000-0010-0000-E400-000001000000}" uniqueName="1">
      <xmlPr mapId="43" xpath="/ns1:Root/ns1:P5" xmlDataType="string"/>
    </xmlCellPr>
  </singleXmlCell>
  <singleXmlCell id="820" xr6:uid="{00000000-000C-0000-FFFF-FFFFE5000000}" r="E122" connectionId="0">
    <xmlCellPr id="1" xr6:uid="{00000000-0010-0000-E500-000001000000}" uniqueName="1">
      <xmlPr mapId="43" xpath="/ns1:Root/ns1:P5_Code" xmlDataType="double"/>
    </xmlCellPr>
  </singleXmlCell>
  <singleXmlCell id="821" xr6:uid="{00000000-000C-0000-FFFF-FFFFE6000000}" r="F122" connectionId="0">
    <xmlCellPr id="1" xr6:uid="{00000000-0010-0000-E600-000001000000}" uniqueName="1">
      <xmlPr mapId="43" xpath="/ns1:Root/ns1:P5_Tied" xmlDataType="string"/>
    </xmlCellPr>
  </singleXmlCell>
  <singleXmlCell id="822" xr6:uid="{00000000-000C-0000-FFFF-FFFFE7000000}" r="B124" connectionId="0">
    <xmlCellPr id="1" xr6:uid="{00000000-0010-0000-E700-000001000000}" uniqueName="1">
      <xmlPr mapId="43" xpath="/ns1:Root/ns1:P6" xmlDataType="string"/>
    </xmlCellPr>
  </singleXmlCell>
  <singleXmlCell id="823" xr6:uid="{00000000-000C-0000-FFFF-FFFFE8000000}" r="E124" connectionId="0">
    <xmlCellPr id="1" xr6:uid="{00000000-0010-0000-E800-000001000000}" uniqueName="1">
      <xmlPr mapId="43" xpath="/ns1:Root/ns1:P6_Code" xmlDataType="double"/>
    </xmlCellPr>
  </singleXmlCell>
  <singleXmlCell id="824" xr6:uid="{00000000-000C-0000-FFFF-FFFFE9000000}" r="F124" connectionId="0">
    <xmlCellPr id="1" xr6:uid="{00000000-0010-0000-E900-000001000000}" uniqueName="1">
      <xmlPr mapId="43" xpath="/ns1:Root/ns1:P6_Tied" xmlDataType="string"/>
    </xmlCellPr>
  </singleXmlCell>
  <singleXmlCell id="837" xr6:uid="{00000000-000C-0000-FFFF-FFFFEA000000}" r="D26" connectionId="0">
    <xmlCellPr id="1" xr6:uid="{00000000-0010-0000-EA00-000001000000}" uniqueName="1">
      <xmlPr mapId="43" xpath="/ns1:Root/ns1:Currency" xmlDataType="string"/>
    </xmlCellPr>
  </singleXmlCell>
  <singleXmlCell id="830" xr6:uid="{00000000-000C-0000-FFFF-FFFFEB000000}" r="F130" connectionId="0">
    <xmlCellPr id="1" xr6:uid="{00000000-0010-0000-EB00-000001000000}" uniqueName="1">
      <xmlPr mapId="43" xpath="/ns1:Root/ns1:P8_Tied" xmlDataType="string"/>
    </xmlCellPr>
  </singleXmlCell>
  <singleXmlCell id="829" xr6:uid="{00000000-000C-0000-FFFF-FFFFEC000000}" r="E130" connectionId="0">
    <xmlCellPr id="1" xr6:uid="{00000000-0010-0000-EC00-000001000000}" uniqueName="1">
      <xmlPr mapId="43" xpath="/ns1:Root/ns1:P8_Code" xmlDataType="double"/>
    </xmlCellPr>
  </singleXmlCell>
  <singleXmlCell id="828" xr6:uid="{00000000-000C-0000-FFFF-FFFFED000000}" r="B130" connectionId="0">
    <xmlCellPr id="1" xr6:uid="{00000000-0010-0000-ED00-000001000000}" uniqueName="1">
      <xmlPr mapId="43" xpath="/ns1:Root/ns1:P8" xmlDataType="string"/>
    </xmlCellPr>
  </singleXmlCell>
  <singleXmlCell id="827" xr6:uid="{00000000-000C-0000-FFFF-FFFFEE000000}" r="F126" connectionId="0">
    <xmlCellPr id="1" xr6:uid="{00000000-0010-0000-EE00-000001000000}" uniqueName="1">
      <xmlPr mapId="43" xpath="/ns1:Root/ns1:P7_Tied" xmlDataType="string"/>
    </xmlCellPr>
  </singleXmlCell>
  <singleXmlCell id="826" xr6:uid="{00000000-000C-0000-FFFF-FFFFEF000000}" r="E126" connectionId="0">
    <xmlCellPr id="1" xr6:uid="{00000000-0010-0000-EF00-000001000000}" uniqueName="1">
      <xmlPr mapId="43" xpath="/ns1:Root/ns1:P7_Code" xmlDataType="double"/>
    </xmlCellPr>
  </singleXmlCell>
  <singleXmlCell id="825" xr6:uid="{00000000-000C-0000-FFFF-FFFFF0000000}" r="B126" connectionId="0">
    <xmlCellPr id="1" xr6:uid="{00000000-0010-0000-F000-000001000000}" uniqueName="1">
      <xmlPr mapId="43" xpath="/ns1:Root/ns1:P7" xmlDataType="string"/>
    </xmlCellPr>
  </singleXmlCell>
  <singleXmlCell id="757" xr6:uid="{00000000-000C-0000-FFFF-FFFFF1000000}" r="S131" connectionId="0">
    <xmlCellPr id="1" xr6:uid="{00000000-0010-0000-F100-000001000000}" uniqueName="1">
      <xmlPr mapId="43" xpath="/ns1:Root/ns1:Prog/ns1:Achieved__P12_8" xmlDataType="string"/>
    </xmlCellPr>
  </singleXmlCell>
  <singleXmlCell id="756" xr6:uid="{00000000-000C-0000-FFFF-FFFFF2000000}" r="R131" connectionId="0">
    <xmlCellPr id="1" xr6:uid="{00000000-0010-0000-F200-000001000000}" uniqueName="1">
      <xmlPr mapId="43" xpath="/ns1:Root/ns1:Prog/ns1:Achieved__P11_8" xmlDataType="string"/>
    </xmlCellPr>
  </singleXmlCell>
  <singleXmlCell id="755" xr6:uid="{00000000-000C-0000-FFFF-FFFFF3000000}" r="Q131" connectionId="0">
    <xmlCellPr id="1" xr6:uid="{00000000-0010-0000-F300-000001000000}" uniqueName="1">
      <xmlPr mapId="43" xpath="/ns1:Root/ns1:Prog/ns1:Achieved__P10_8" xmlDataType="string"/>
    </xmlCellPr>
  </singleXmlCell>
  <singleXmlCell id="754" xr6:uid="{00000000-000C-0000-FFFF-FFFFF4000000}" r="P131" connectionId="0">
    <xmlCellPr id="1" xr6:uid="{00000000-0010-0000-F400-000001000000}" uniqueName="1">
      <xmlPr mapId="43" xpath="/ns1:Root/ns1:Prog/ns1:Achieved__P9_8" xmlDataType="string"/>
    </xmlCellPr>
  </singleXmlCell>
  <singleXmlCell id="753" xr6:uid="{00000000-000C-0000-FFFF-FFFFF5000000}" r="O131" connectionId="0">
    <xmlCellPr id="1" xr6:uid="{00000000-0010-0000-F500-000001000000}" uniqueName="1">
      <xmlPr mapId="43" xpath="/ns1:Root/ns1:Prog/ns1:Achieved__P8_8" xmlDataType="string"/>
    </xmlCellPr>
  </singleXmlCell>
  <singleXmlCell id="752" xr6:uid="{00000000-000C-0000-FFFF-FFFFF6000000}" r="N131" connectionId="0">
    <xmlCellPr id="1" xr6:uid="{00000000-0010-0000-F600-000001000000}" uniqueName="1">
      <xmlPr mapId="43" xpath="/ns1:Root/ns1:Prog/ns1:Achieved__P7_8" xmlDataType="string"/>
    </xmlCellPr>
  </singleXmlCell>
  <singleXmlCell id="751" xr6:uid="{00000000-000C-0000-FFFF-FFFFF7000000}" r="M131" connectionId="0">
    <xmlCellPr id="1" xr6:uid="{00000000-0010-0000-F700-000001000000}" uniqueName="1">
      <xmlPr mapId="43" xpath="/ns1:Root/ns1:Prog/ns1:Achieved__P6_8" xmlDataType="string"/>
    </xmlCellPr>
  </singleXmlCell>
  <singleXmlCell id="750" xr6:uid="{00000000-000C-0000-FFFF-FFFFF8000000}" r="L131" connectionId="0">
    <xmlCellPr id="1" xr6:uid="{00000000-0010-0000-F800-000001000000}" uniqueName="1">
      <xmlPr mapId="43" xpath="/ns1:Root/ns1:Prog/ns1:Achieved__P5_8" xmlDataType="string"/>
    </xmlCellPr>
  </singleXmlCell>
  <singleXmlCell id="749" xr6:uid="{00000000-000C-0000-FFFF-FFFFF9000000}" r="K131" connectionId="0">
    <xmlCellPr id="1" xr6:uid="{00000000-0010-0000-F900-000001000000}" uniqueName="1">
      <xmlPr mapId="43" xpath="/ns1:Root/ns1:Prog/ns1:Achieved__P4_8" xmlDataType="string"/>
    </xmlCellPr>
  </singleXmlCell>
  <singleXmlCell id="748" xr6:uid="{00000000-000C-0000-FFFF-FFFFFA000000}" r="J131" connectionId="0">
    <xmlCellPr id="1" xr6:uid="{00000000-0010-0000-FA00-000001000000}" uniqueName="1">
      <xmlPr mapId="43" xpath="/ns1:Root/ns1:Prog/ns1:Achieved__P3_8" xmlDataType="string"/>
    </xmlCellPr>
  </singleXmlCell>
  <singleXmlCell id="747" xr6:uid="{00000000-000C-0000-FFFF-FFFFFB000000}" r="I131" connectionId="0">
    <xmlCellPr id="1" xr6:uid="{00000000-0010-0000-FB00-000001000000}" uniqueName="1">
      <xmlPr mapId="43" xpath="/ns1:Root/ns1:Prog/ns1:Achieved__P2_8" xmlDataType="string"/>
    </xmlCellPr>
  </singleXmlCell>
  <singleXmlCell id="746" xr6:uid="{00000000-000C-0000-FFFF-FFFFFC000000}" r="H131" connectionId="0">
    <xmlCellPr id="1" xr6:uid="{00000000-0010-0000-FC00-000001000000}" uniqueName="1">
      <xmlPr mapId="43" xpath="/ns1:Root/ns1:Prog/ns1:Achieved__P1_8" xmlDataType="string"/>
    </xmlCellPr>
  </singleXmlCell>
  <singleXmlCell id="745" xr6:uid="{00000000-000C-0000-FFFF-FFFFFD000000}" r="S130" connectionId="0">
    <xmlCellPr id="1" xr6:uid="{00000000-0010-0000-FD00-000001000000}" uniqueName="1">
      <xmlPr mapId="43" xpath="/ns1:Root/ns1:Prog/ns1:Target_P12_8" xmlDataType="double"/>
    </xmlCellPr>
  </singleXmlCell>
  <singleXmlCell id="744" xr6:uid="{00000000-000C-0000-FFFF-FFFFFE000000}" r="R130" connectionId="0">
    <xmlCellPr id="1" xr6:uid="{00000000-0010-0000-FE00-000001000000}" uniqueName="1">
      <xmlPr mapId="43" xpath="/ns1:Root/ns1:Prog/ns1:Target_P11_8" xmlDataType="double"/>
    </xmlCellPr>
  </singleXmlCell>
  <singleXmlCell id="743" xr6:uid="{00000000-000C-0000-FFFF-FFFFFF000000}" r="Q130" connectionId="0">
    <xmlCellPr id="1" xr6:uid="{00000000-0010-0000-FF00-000001000000}" uniqueName="1">
      <xmlPr mapId="43" xpath="/ns1:Root/ns1:Prog/ns1:Target_P10_8" xmlDataType="double"/>
    </xmlCellPr>
  </singleXmlCell>
  <singleXmlCell id="742" xr6:uid="{00000000-000C-0000-FFFF-FFFF00010000}" r="P130" connectionId="0">
    <xmlCellPr id="1" xr6:uid="{00000000-0010-0000-0001-000001000000}" uniqueName="1">
      <xmlPr mapId="43" xpath="/ns1:Root/ns1:Prog/ns1:Target_P9_8" xmlDataType="double"/>
    </xmlCellPr>
  </singleXmlCell>
  <singleXmlCell id="741" xr6:uid="{00000000-000C-0000-FFFF-FFFF01010000}" r="O130" connectionId="0">
    <xmlCellPr id="1" xr6:uid="{00000000-0010-0000-0101-000001000000}" uniqueName="1">
      <xmlPr mapId="43" xpath="/ns1:Root/ns1:Prog/ns1:Target_P8_8" xmlDataType="double"/>
    </xmlCellPr>
  </singleXmlCell>
  <singleXmlCell id="740" xr6:uid="{00000000-000C-0000-FFFF-FFFF02010000}" r="N130" connectionId="0">
    <xmlCellPr id="1" xr6:uid="{00000000-0010-0000-0201-000001000000}" uniqueName="1">
      <xmlPr mapId="43" xpath="/ns1:Root/ns1:Prog/ns1:Target_P7_8" xmlDataType="string"/>
    </xmlCellPr>
  </singleXmlCell>
  <singleXmlCell id="739" xr6:uid="{00000000-000C-0000-FFFF-FFFF03010000}" r="M130" connectionId="0">
    <xmlCellPr id="1" xr6:uid="{00000000-0010-0000-0301-000001000000}" uniqueName="1">
      <xmlPr mapId="43" xpath="/ns1:Root/ns1:Prog/ns1:Target_P6_8" xmlDataType="double"/>
    </xmlCellPr>
  </singleXmlCell>
  <singleXmlCell id="738" xr6:uid="{00000000-000C-0000-FFFF-FFFF04010000}" r="L130" connectionId="0">
    <xmlCellPr id="1" xr6:uid="{00000000-0010-0000-0401-000001000000}" uniqueName="1">
      <xmlPr mapId="43" xpath="/ns1:Root/ns1:Prog/ns1:Target_P5_8" xmlDataType="string"/>
    </xmlCellPr>
  </singleXmlCell>
  <singleXmlCell id="737" xr6:uid="{00000000-000C-0000-FFFF-FFFF05010000}" r="K130" connectionId="0">
    <xmlCellPr id="1" xr6:uid="{00000000-0010-0000-0501-000001000000}" uniqueName="1">
      <xmlPr mapId="43" xpath="/ns1:Root/ns1:Prog/ns1:Target_P4_8" xmlDataType="double"/>
    </xmlCellPr>
  </singleXmlCell>
  <singleXmlCell id="736" xr6:uid="{00000000-000C-0000-FFFF-FFFF06010000}" r="J130" connectionId="0">
    <xmlCellPr id="1" xr6:uid="{00000000-0010-0000-0601-000001000000}" uniqueName="1">
      <xmlPr mapId="43" xpath="/ns1:Root/ns1:Prog/ns1:Target_P3_8" xmlDataType="string"/>
    </xmlCellPr>
  </singleXmlCell>
  <singleXmlCell id="735" xr6:uid="{00000000-000C-0000-FFFF-FFFF07010000}" r="I130" connectionId="0">
    <xmlCellPr id="1" xr6:uid="{00000000-0010-0000-0701-000001000000}" uniqueName="1">
      <xmlPr mapId="43" xpath="/ns1:Root/ns1:Prog/ns1:Target_P2_8" xmlDataType="double"/>
    </xmlCellPr>
  </singleXmlCell>
  <singleXmlCell id="734" xr6:uid="{00000000-000C-0000-FFFF-FFFF08010000}" r="H130" connectionId="0">
    <xmlCellPr id="1" xr6:uid="{00000000-0010-0000-0801-000001000000}" uniqueName="1">
      <xmlPr mapId="43" xpath="/ns1:Root/ns1:Prog/ns1:Target_P1_8" xmlDataType="string"/>
    </xmlCellPr>
  </singleXmlCell>
  <singleXmlCell id="733" xr6:uid="{00000000-000C-0000-FFFF-FFFF09010000}" r="S127" connectionId="0">
    <xmlCellPr id="1" xr6:uid="{00000000-0010-0000-0901-000001000000}" uniqueName="1">
      <xmlPr mapId="43" xpath="/ns1:Root/ns1:Prog/ns1:Achieved__P12_7" xmlDataType="string"/>
    </xmlCellPr>
  </singleXmlCell>
  <singleXmlCell id="732" xr6:uid="{00000000-000C-0000-FFFF-FFFF0A010000}" r="R127" connectionId="0">
    <xmlCellPr id="1" xr6:uid="{00000000-0010-0000-0A01-000001000000}" uniqueName="1">
      <xmlPr mapId="43" xpath="/ns1:Root/ns1:Prog/ns1:Achieved__P11_7" xmlDataType="string"/>
    </xmlCellPr>
  </singleXmlCell>
  <singleXmlCell id="731" xr6:uid="{00000000-000C-0000-FFFF-FFFF0B010000}" r="Q127" connectionId="0">
    <xmlCellPr id="1" xr6:uid="{00000000-0010-0000-0B01-000001000000}" uniqueName="1">
      <xmlPr mapId="43" xpath="/ns1:Root/ns1:Prog/ns1:Achieved__P10_7" xmlDataType="string"/>
    </xmlCellPr>
  </singleXmlCell>
  <singleXmlCell id="730" xr6:uid="{00000000-000C-0000-FFFF-FFFF0C010000}" r="P127" connectionId="0">
    <xmlCellPr id="1" xr6:uid="{00000000-0010-0000-0C01-000001000000}" uniqueName="1">
      <xmlPr mapId="43" xpath="/ns1:Root/ns1:Prog/ns1:Achieved__P9_7" xmlDataType="string"/>
    </xmlCellPr>
  </singleXmlCell>
  <singleXmlCell id="729" xr6:uid="{00000000-000C-0000-FFFF-FFFF0D010000}" r="O127" connectionId="0">
    <xmlCellPr id="1" xr6:uid="{00000000-0010-0000-0D01-000001000000}" uniqueName="1">
      <xmlPr mapId="43" xpath="/ns1:Root/ns1:Prog/ns1:Achieved__P8_7" xmlDataType="string"/>
    </xmlCellPr>
  </singleXmlCell>
  <singleXmlCell id="728" xr6:uid="{00000000-000C-0000-FFFF-FFFF0E010000}" r="N127" connectionId="0">
    <xmlCellPr id="1" xr6:uid="{00000000-0010-0000-0E01-000001000000}" uniqueName="1">
      <xmlPr mapId="43" xpath="/ns1:Root/ns1:Prog/ns1:Achieved__P7_7" xmlDataType="string"/>
    </xmlCellPr>
  </singleXmlCell>
  <singleXmlCell id="727" xr6:uid="{00000000-000C-0000-FFFF-FFFF0F010000}" r="M127" connectionId="0">
    <xmlCellPr id="1" xr6:uid="{00000000-0010-0000-0F01-000001000000}" uniqueName="1">
      <xmlPr mapId="43" xpath="/ns1:Root/ns1:Prog/ns1:Achieved__P6_7" xmlDataType="string"/>
    </xmlCellPr>
  </singleXmlCell>
  <singleXmlCell id="726" xr6:uid="{00000000-000C-0000-FFFF-FFFF10010000}" r="L127" connectionId="0">
    <xmlCellPr id="1" xr6:uid="{00000000-0010-0000-1001-000001000000}" uniqueName="1">
      <xmlPr mapId="43" xpath="/ns1:Root/ns1:Prog/ns1:Achieved__P5_7" xmlDataType="string"/>
    </xmlCellPr>
  </singleXmlCell>
  <singleXmlCell id="725" xr6:uid="{00000000-000C-0000-FFFF-FFFF11010000}" r="K127" connectionId="0">
    <xmlCellPr id="1" xr6:uid="{00000000-0010-0000-1101-000001000000}" uniqueName="1">
      <xmlPr mapId="43" xpath="/ns1:Root/ns1:Prog/ns1:Achieved__P4_7" xmlDataType="double"/>
    </xmlCellPr>
  </singleXmlCell>
  <singleXmlCell id="724" xr6:uid="{00000000-000C-0000-FFFF-FFFF12010000}" r="J127" connectionId="0">
    <xmlCellPr id="1" xr6:uid="{00000000-0010-0000-1201-000001000000}" uniqueName="1">
      <xmlPr mapId="43" xpath="/ns1:Root/ns1:Prog/ns1:Achieved__P3_7" xmlDataType="double"/>
    </xmlCellPr>
  </singleXmlCell>
  <singleXmlCell id="723" xr6:uid="{00000000-000C-0000-FFFF-FFFF13010000}" r="I127" connectionId="0">
    <xmlCellPr id="1" xr6:uid="{00000000-0010-0000-1301-000001000000}" uniqueName="1">
      <xmlPr mapId="43" xpath="/ns1:Root/ns1:Prog/ns1:Achieved__P2_7" xmlDataType="double"/>
    </xmlCellPr>
  </singleXmlCell>
  <singleXmlCell id="722" xr6:uid="{00000000-000C-0000-FFFF-FFFF14010000}" r="H127" connectionId="0">
    <xmlCellPr id="1" xr6:uid="{00000000-0010-0000-1401-000001000000}" uniqueName="1">
      <xmlPr mapId="43" xpath="/ns1:Root/ns1:Prog/ns1:Achieved__P1_7" xmlDataType="double"/>
    </xmlCellPr>
  </singleXmlCell>
  <singleXmlCell id="721" xr6:uid="{00000000-000C-0000-FFFF-FFFF15010000}" r="S126" connectionId="0">
    <xmlCellPr id="1" xr6:uid="{00000000-0010-0000-1501-000001000000}" uniqueName="1">
      <xmlPr mapId="43" xpath="/ns1:Root/ns1:Prog/ns1:Target_P12_7" xmlDataType="double"/>
    </xmlCellPr>
  </singleXmlCell>
  <singleXmlCell id="720" xr6:uid="{00000000-000C-0000-FFFF-FFFF16010000}" r="R126" connectionId="0">
    <xmlCellPr id="1" xr6:uid="{00000000-0010-0000-1601-000001000000}" uniqueName="1">
      <xmlPr mapId="43" xpath="/ns1:Root/ns1:Prog/ns1:Target_P11_7" xmlDataType="double"/>
    </xmlCellPr>
  </singleXmlCell>
  <singleXmlCell id="719" xr6:uid="{00000000-000C-0000-FFFF-FFFF17010000}" r="Q126" connectionId="0">
    <xmlCellPr id="1" xr6:uid="{00000000-0010-0000-1701-000001000000}" uniqueName="1">
      <xmlPr mapId="43" xpath="/ns1:Root/ns1:Prog/ns1:Target_P10_7" xmlDataType="double"/>
    </xmlCellPr>
  </singleXmlCell>
  <singleXmlCell id="718" xr6:uid="{00000000-000C-0000-FFFF-FFFF18010000}" r="P126" connectionId="0">
    <xmlCellPr id="1" xr6:uid="{00000000-0010-0000-1801-000001000000}" uniqueName="1">
      <xmlPr mapId="43" xpath="/ns1:Root/ns1:Prog/ns1:Target_P9_7" xmlDataType="double"/>
    </xmlCellPr>
  </singleXmlCell>
  <singleXmlCell id="717" xr6:uid="{00000000-000C-0000-FFFF-FFFF19010000}" r="O126" connectionId="0">
    <xmlCellPr id="1" xr6:uid="{00000000-0010-0000-1901-000001000000}" uniqueName="1">
      <xmlPr mapId="43" xpath="/ns1:Root/ns1:Prog/ns1:Target_P8_7" xmlDataType="double"/>
    </xmlCellPr>
  </singleXmlCell>
  <singleXmlCell id="716" xr6:uid="{00000000-000C-0000-FFFF-FFFF1A010000}" r="N126" connectionId="0">
    <xmlCellPr id="1" xr6:uid="{00000000-0010-0000-1A01-000001000000}" uniqueName="1">
      <xmlPr mapId="43" xpath="/ns1:Root/ns1:Prog/ns1:Target_P7_7" xmlDataType="double"/>
    </xmlCellPr>
  </singleXmlCell>
  <singleXmlCell id="715" xr6:uid="{00000000-000C-0000-FFFF-FFFF1B010000}" r="M126" connectionId="0">
    <xmlCellPr id="1" xr6:uid="{00000000-0010-0000-1B01-000001000000}" uniqueName="1">
      <xmlPr mapId="43" xpath="/ns1:Root/ns1:Prog/ns1:Target_P6_7" xmlDataType="double"/>
    </xmlCellPr>
  </singleXmlCell>
  <singleXmlCell id="714" xr6:uid="{00000000-000C-0000-FFFF-FFFF1C010000}" r="L126" connectionId="0">
    <xmlCellPr id="1" xr6:uid="{00000000-0010-0000-1C01-000001000000}" uniqueName="1">
      <xmlPr mapId="43" xpath="/ns1:Root/ns1:Prog/ns1:Target_P5_7" xmlDataType="double"/>
    </xmlCellPr>
  </singleXmlCell>
  <singleXmlCell id="713" xr6:uid="{00000000-000C-0000-FFFF-FFFF1D010000}" r="K126" connectionId="0">
    <xmlCellPr id="1" xr6:uid="{00000000-0010-0000-1D01-000001000000}" uniqueName="1">
      <xmlPr mapId="43" xpath="/ns1:Root/ns1:Prog/ns1:Target_P4_7" xmlDataType="double"/>
    </xmlCellPr>
  </singleXmlCell>
  <singleXmlCell id="712" xr6:uid="{00000000-000C-0000-FFFF-FFFF1E010000}" r="J126" connectionId="0">
    <xmlCellPr id="1" xr6:uid="{00000000-0010-0000-1E01-000001000000}" uniqueName="1">
      <xmlPr mapId="43" xpath="/ns1:Root/ns1:Prog/ns1:Target_P3_7" xmlDataType="double"/>
    </xmlCellPr>
  </singleXmlCell>
  <singleXmlCell id="711" xr6:uid="{00000000-000C-0000-FFFF-FFFF1F010000}" r="I126" connectionId="0">
    <xmlCellPr id="1" xr6:uid="{00000000-0010-0000-1F01-000001000000}" uniqueName="1">
      <xmlPr mapId="43" xpath="/ns1:Root/ns1:Prog/ns1:Target_P2_7" xmlDataType="double"/>
    </xmlCellPr>
  </singleXmlCell>
  <singleXmlCell id="710" xr6:uid="{00000000-000C-0000-FFFF-FFFF20010000}" r="H126" connectionId="0">
    <xmlCellPr id="1" xr6:uid="{00000000-0010-0000-2001-000001000000}" uniqueName="1">
      <xmlPr mapId="43" xpath="/ns1:Root/ns1:Prog/ns1:Target_P1_7" xmlDataType="double"/>
    </xmlCellPr>
  </singleXmlCell>
  <singleXmlCell id="815" xr6:uid="{00000000-000C-0000-FFFF-FFFF21010000}" r="F120" connectionId="0">
    <xmlCellPr id="1" xr6:uid="{00000000-0010-0000-2101-000001000000}" uniqueName="1">
      <xmlPr mapId="43" xpath="/ns1:Root/ns1:P3_Tied" xmlDataType="string"/>
    </xmlCellPr>
  </singleXmlCell>
  <singleXmlCell id="814" xr6:uid="{00000000-000C-0000-FFFF-FFFF22010000}" r="E120" connectionId="0">
    <xmlCellPr id="1" xr6:uid="{00000000-0010-0000-2201-000001000000}" uniqueName="1">
      <xmlPr mapId="43" xpath="/ns1:Root/ns1:P3_Code" xmlDataType="double"/>
    </xmlCellPr>
  </singleXmlCell>
  <singleXmlCell id="813" xr6:uid="{00000000-000C-0000-FFFF-FFFF23010000}" r="B120" connectionId="0">
    <xmlCellPr id="1" xr6:uid="{00000000-0010-0000-2301-000001000000}" uniqueName="1">
      <xmlPr mapId="43" xpath="/ns1:Root/ns1:P3" xmlDataType="string"/>
    </xmlCellPr>
  </singleXmlCell>
  <singleXmlCell id="637" xr6:uid="{00000000-000C-0000-FFFF-FFFF24010000}" r="S121" connectionId="0">
    <xmlCellPr id="1" xr6:uid="{00000000-0010-0000-2401-000001000000}" uniqueName="1">
      <xmlPr mapId="43" xpath="/ns1:Root/ns1:Prog/ns1:Achieved__P12_3" xmlDataType="string"/>
    </xmlCellPr>
  </singleXmlCell>
  <singleXmlCell id="636" xr6:uid="{00000000-000C-0000-FFFF-FFFF25010000}" r="R121" connectionId="0">
    <xmlCellPr id="1" xr6:uid="{00000000-0010-0000-2501-000001000000}" uniqueName="1">
      <xmlPr mapId="43" xpath="/ns1:Root/ns1:Prog/ns1:Achieved__P11_3" xmlDataType="string"/>
    </xmlCellPr>
  </singleXmlCell>
  <singleXmlCell id="635" xr6:uid="{00000000-000C-0000-FFFF-FFFF26010000}" r="Q121" connectionId="0">
    <xmlCellPr id="1" xr6:uid="{00000000-0010-0000-2601-000001000000}" uniqueName="1">
      <xmlPr mapId="43" xpath="/ns1:Root/ns1:Prog/ns1:Achieved__P10_3" xmlDataType="string"/>
    </xmlCellPr>
  </singleXmlCell>
  <singleXmlCell id="634" xr6:uid="{00000000-000C-0000-FFFF-FFFF27010000}" r="P121" connectionId="0">
    <xmlCellPr id="1" xr6:uid="{00000000-0010-0000-2701-000001000000}" uniqueName="1">
      <xmlPr mapId="43" xpath="/ns1:Root/ns1:Prog/ns1:Achieved__P9_3" xmlDataType="string"/>
    </xmlCellPr>
  </singleXmlCell>
  <singleXmlCell id="633" xr6:uid="{00000000-000C-0000-FFFF-FFFF28010000}" r="O121" connectionId="0">
    <xmlCellPr id="1" xr6:uid="{00000000-0010-0000-2801-000001000000}" uniqueName="1">
      <xmlPr mapId="43" xpath="/ns1:Root/ns1:Prog/ns1:Achieved__P8_3" xmlDataType="string"/>
    </xmlCellPr>
  </singleXmlCell>
  <singleXmlCell id="632" xr6:uid="{00000000-000C-0000-FFFF-FFFF29010000}" r="N121" connectionId="0">
    <xmlCellPr id="1" xr6:uid="{00000000-0010-0000-2901-000001000000}" uniqueName="1">
      <xmlPr mapId="43" xpath="/ns1:Root/ns1:Prog/ns1:Achieved__P7_3" xmlDataType="string"/>
    </xmlCellPr>
  </singleXmlCell>
  <singleXmlCell id="631" xr6:uid="{00000000-000C-0000-FFFF-FFFF2A010000}" r="M121" connectionId="0">
    <xmlCellPr id="1" xr6:uid="{00000000-0010-0000-2A01-000001000000}" uniqueName="1">
      <xmlPr mapId="43" xpath="/ns1:Root/ns1:Prog/ns1:Achieved__P6_3" xmlDataType="string"/>
    </xmlCellPr>
  </singleXmlCell>
  <singleXmlCell id="630" xr6:uid="{00000000-000C-0000-FFFF-FFFF2B010000}" r="L121" connectionId="0">
    <xmlCellPr id="1" xr6:uid="{00000000-0010-0000-2B01-000001000000}" uniqueName="1">
      <xmlPr mapId="43" xpath="/ns1:Root/ns1:Prog/ns1:Achieved__P5_3" xmlDataType="string"/>
    </xmlCellPr>
  </singleXmlCell>
  <singleXmlCell id="629" xr6:uid="{00000000-000C-0000-FFFF-FFFF2C010000}" r="K121" connectionId="0">
    <xmlCellPr id="1" xr6:uid="{00000000-0010-0000-2C01-000001000000}" uniqueName="1">
      <xmlPr mapId="43" xpath="/ns1:Root/ns1:Prog/ns1:Achieved__P4_3" xmlDataType="double"/>
    </xmlCellPr>
  </singleXmlCell>
  <singleXmlCell id="628" xr6:uid="{00000000-000C-0000-FFFF-FFFF2D010000}" r="J121" connectionId="0">
    <xmlCellPr id="1" xr6:uid="{00000000-0010-0000-2D01-000001000000}" uniqueName="1">
      <xmlPr mapId="43" xpath="/ns1:Root/ns1:Prog/ns1:Achieved__P3_3" xmlDataType="string"/>
    </xmlCellPr>
  </singleXmlCell>
  <singleXmlCell id="627" xr6:uid="{00000000-000C-0000-FFFF-FFFF2E010000}" r="I121" connectionId="0">
    <xmlCellPr id="1" xr6:uid="{00000000-0010-0000-2E01-000001000000}" uniqueName="1">
      <xmlPr mapId="43" xpath="/ns1:Root/ns1:Prog/ns1:Achieved__P2_3" xmlDataType="double"/>
    </xmlCellPr>
  </singleXmlCell>
  <singleXmlCell id="626" xr6:uid="{00000000-000C-0000-FFFF-FFFF2F010000}" r="H121" connectionId="0">
    <xmlCellPr id="1" xr6:uid="{00000000-0010-0000-2F01-000001000000}" uniqueName="1">
      <xmlPr mapId="43" xpath="/ns1:Root/ns1:Prog/ns1:Achieved__P1_3" xmlDataType="string"/>
    </xmlCellPr>
  </singleXmlCell>
  <singleXmlCell id="625" xr6:uid="{00000000-000C-0000-FFFF-FFFF30010000}" r="S120" connectionId="0">
    <xmlCellPr id="1" xr6:uid="{00000000-0010-0000-3001-000001000000}" uniqueName="1">
      <xmlPr mapId="43" xpath="/ns1:Root/ns1:Prog/ns1:Target_P12_3" xmlDataType="double"/>
    </xmlCellPr>
  </singleXmlCell>
  <singleXmlCell id="624" xr6:uid="{00000000-000C-0000-FFFF-FFFF31010000}" r="R120" connectionId="0">
    <xmlCellPr id="1" xr6:uid="{00000000-0010-0000-3101-000001000000}" uniqueName="1">
      <xmlPr mapId="43" xpath="/ns1:Root/ns1:Prog/ns1:Target_P11_3" xmlDataType="string"/>
    </xmlCellPr>
  </singleXmlCell>
  <singleXmlCell id="623" xr6:uid="{00000000-000C-0000-FFFF-FFFF32010000}" r="Q120" connectionId="0">
    <xmlCellPr id="1" xr6:uid="{00000000-0010-0000-3201-000001000000}" uniqueName="1">
      <xmlPr mapId="43" xpath="/ns1:Root/ns1:Prog/ns1:Target_P10_3" xmlDataType="string"/>
    </xmlCellPr>
  </singleXmlCell>
  <singleXmlCell id="622" xr6:uid="{00000000-000C-0000-FFFF-FFFF33010000}" r="P120" connectionId="0">
    <xmlCellPr id="1" xr6:uid="{00000000-0010-0000-3301-000001000000}" uniqueName="1">
      <xmlPr mapId="43" xpath="/ns1:Root/ns1:Prog/ns1:Target_P9_3" xmlDataType="double"/>
    </xmlCellPr>
  </singleXmlCell>
  <singleXmlCell id="621" xr6:uid="{00000000-000C-0000-FFFF-FFFF34010000}" r="O120" connectionId="0">
    <xmlCellPr id="1" xr6:uid="{00000000-0010-0000-3401-000001000000}" uniqueName="1">
      <xmlPr mapId="43" xpath="/ns1:Root/ns1:Prog/ns1:Target_P8_3" xmlDataType="double"/>
    </xmlCellPr>
  </singleXmlCell>
  <singleXmlCell id="620" xr6:uid="{00000000-000C-0000-FFFF-FFFF35010000}" r="N120" connectionId="0">
    <xmlCellPr id="1" xr6:uid="{00000000-0010-0000-3501-000001000000}" uniqueName="1">
      <xmlPr mapId="43" xpath="/ns1:Root/ns1:Prog/ns1:Target_P7_3" xmlDataType="double"/>
    </xmlCellPr>
  </singleXmlCell>
  <singleXmlCell id="619" xr6:uid="{00000000-000C-0000-FFFF-FFFF36010000}" r="M120" connectionId="0">
    <xmlCellPr id="1" xr6:uid="{00000000-0010-0000-3601-000001000000}" uniqueName="1">
      <xmlPr mapId="43" xpath="/ns1:Root/ns1:Prog/ns1:Target_P6_3" xmlDataType="double"/>
    </xmlCellPr>
  </singleXmlCell>
  <singleXmlCell id="618" xr6:uid="{00000000-000C-0000-FFFF-FFFF37010000}" r="L120" connectionId="0">
    <xmlCellPr id="1" xr6:uid="{00000000-0010-0000-3701-000001000000}" uniqueName="1">
      <xmlPr mapId="43" xpath="/ns1:Root/ns1:Prog/ns1:Target_P5_3" xmlDataType="double"/>
    </xmlCellPr>
  </singleXmlCell>
  <singleXmlCell id="617" xr6:uid="{00000000-000C-0000-FFFF-FFFF38010000}" r="K120" connectionId="0">
    <xmlCellPr id="1" xr6:uid="{00000000-0010-0000-3801-000001000000}" uniqueName="1">
      <xmlPr mapId="43" xpath="/ns1:Root/ns1:Prog/ns1:Target_P4_3" xmlDataType="double"/>
    </xmlCellPr>
  </singleXmlCell>
  <singleXmlCell id="616" xr6:uid="{00000000-000C-0000-FFFF-FFFF39010000}" r="J120" connectionId="0">
    <xmlCellPr id="1" xr6:uid="{00000000-0010-0000-3901-000001000000}" uniqueName="1">
      <xmlPr mapId="43" xpath="/ns1:Root/ns1:Prog/ns1:Target_P3_3" xmlDataType="double"/>
    </xmlCellPr>
  </singleXmlCell>
  <singleXmlCell id="615" xr6:uid="{00000000-000C-0000-FFFF-FFFF3A010000}" r="I120" connectionId="0">
    <xmlCellPr id="1" xr6:uid="{00000000-0010-0000-3A01-000001000000}" uniqueName="1">
      <xmlPr mapId="43" xpath="/ns1:Root/ns1:Prog/ns1:Target_P2_3" xmlDataType="double"/>
    </xmlCellPr>
  </singleXmlCell>
  <singleXmlCell id="614" xr6:uid="{00000000-000C-0000-FFFF-FFFF3B010000}" r="H120" connectionId="0">
    <xmlCellPr id="1" xr6:uid="{00000000-0010-0000-3B01-000001000000}" uniqueName="1">
      <xmlPr mapId="43" xpath="/ns1:Root/ns1:Prog/ns1:Target_P1_3"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sheetPr>
  <dimension ref="B1:O22"/>
  <sheetViews>
    <sheetView showGridLines="0" showRowColHeaders="0" zoomScale="120" zoomScaleNormal="100" workbookViewId="0"/>
  </sheetViews>
  <sheetFormatPr defaultColWidth="11" defaultRowHeight="15"/>
  <cols>
    <col min="1" max="1" width="1.140625" customWidth="1"/>
    <col min="2" max="10" width="11.42578125" customWidth="1"/>
    <col min="11" max="11" width="1.7109375" customWidth="1"/>
  </cols>
  <sheetData>
    <row r="1" spans="2:15" ht="25.5" customHeight="1"/>
    <row r="2" spans="2:15" ht="36">
      <c r="B2" s="548" t="str">
        <f>+'Detail despre Grant'!B3:J3</f>
        <v>Tabel Programatic de Evaluare:  Moldova - TB</v>
      </c>
      <c r="C2" s="548"/>
      <c r="D2" s="548"/>
      <c r="E2" s="548"/>
      <c r="F2" s="548"/>
      <c r="G2" s="548"/>
      <c r="H2" s="548"/>
      <c r="I2" s="548"/>
      <c r="J2" s="548"/>
      <c r="K2" s="548"/>
      <c r="L2" s="548"/>
      <c r="M2" s="1"/>
      <c r="N2" s="1"/>
      <c r="O2" s="1"/>
    </row>
    <row r="4" spans="2:15" ht="21">
      <c r="B4" s="549" t="str">
        <f>+IF('Introducerea datelor'!G6="Please Select", "",'Introducerea datelor'!G6) &amp;"  "&amp;+IF('Introducerea datelor'!G8="Please Select", "", 'Introducerea datelor'!G8&amp;",  ")&amp;+IF('Introducerea datelor'!I8="Please Select","",'Introducerea datelor'!I8)</f>
        <v>TB  Period 1</v>
      </c>
      <c r="C4" s="549"/>
      <c r="D4" s="549"/>
      <c r="E4" s="550"/>
      <c r="F4" s="189"/>
      <c r="G4" s="189"/>
      <c r="H4" s="275" t="str">
        <f>+'Introducerea datelor'!B6&amp;" "&amp;+'Introducerea datelor'!C6</f>
        <v>No. Grantului : MDA-T-PCIMU (#678)</v>
      </c>
      <c r="I4" s="275"/>
      <c r="J4" s="188"/>
      <c r="K4" s="189"/>
      <c r="L4" s="189"/>
    </row>
    <row r="22" spans="2:12" ht="26.25">
      <c r="B22" s="551" t="s">
        <v>276</v>
      </c>
      <c r="C22" s="552"/>
      <c r="D22" s="552"/>
      <c r="E22" s="552"/>
      <c r="F22" s="552"/>
      <c r="G22" s="552"/>
      <c r="H22" s="552"/>
      <c r="I22" s="552"/>
      <c r="J22" s="552"/>
      <c r="K22" s="552"/>
      <c r="L22" s="552"/>
    </row>
  </sheetData>
  <mergeCells count="3">
    <mergeCell ref="B2:L2"/>
    <mergeCell ref="B4:E4"/>
    <mergeCell ref="B22:L22"/>
  </mergeCells>
  <phoneticPr fontId="23"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983" t="str">
        <f>'Detail despre Grant'!B3:J3</f>
        <v>Tabel Programatic de Evaluare:  Moldova - TB</v>
      </c>
      <c r="C3" s="983"/>
      <c r="D3" s="983"/>
      <c r="E3" s="983"/>
      <c r="F3" s="983"/>
      <c r="G3" s="983"/>
      <c r="H3" s="983"/>
      <c r="I3" s="1"/>
    </row>
    <row r="6" spans="2:15" ht="18.75">
      <c r="B6" s="982" t="s">
        <v>247</v>
      </c>
      <c r="C6" s="982"/>
      <c r="D6" s="982"/>
      <c r="E6" s="982"/>
      <c r="F6" s="982"/>
      <c r="G6" s="982"/>
      <c r="H6" s="982"/>
    </row>
    <row r="8" spans="2:15" ht="18.75">
      <c r="B8" s="61" t="s">
        <v>13</v>
      </c>
      <c r="C8" s="61" t="s">
        <v>16</v>
      </c>
      <c r="D8" s="61" t="s">
        <v>17</v>
      </c>
      <c r="E8" s="61" t="s">
        <v>22</v>
      </c>
      <c r="F8" s="61" t="s">
        <v>231</v>
      </c>
      <c r="G8" s="61" t="s">
        <v>215</v>
      </c>
      <c r="H8" s="61" t="s">
        <v>234</v>
      </c>
      <c r="I8" s="62" t="s">
        <v>54</v>
      </c>
      <c r="J8" s="62" t="s">
        <v>80</v>
      </c>
      <c r="M8" s="19"/>
      <c r="N8" s="19"/>
      <c r="O8" s="19"/>
    </row>
    <row r="9" spans="2:15">
      <c r="B9" s="85" t="s">
        <v>270</v>
      </c>
      <c r="C9" s="85" t="s">
        <v>270</v>
      </c>
      <c r="D9" s="85" t="s">
        <v>270</v>
      </c>
      <c r="E9" s="85" t="s">
        <v>270</v>
      </c>
      <c r="F9" s="85" t="s">
        <v>270</v>
      </c>
      <c r="G9" s="85" t="s">
        <v>270</v>
      </c>
      <c r="H9" s="85" t="s">
        <v>270</v>
      </c>
      <c r="I9" s="320" t="s">
        <v>270</v>
      </c>
      <c r="J9" s="85" t="s">
        <v>270</v>
      </c>
      <c r="M9" s="19"/>
      <c r="N9" s="19"/>
      <c r="O9" s="19"/>
    </row>
    <row r="10" spans="2:15">
      <c r="B10" s="56" t="s">
        <v>12</v>
      </c>
      <c r="C10" s="56" t="s">
        <v>7</v>
      </c>
      <c r="D10" s="56" t="s">
        <v>5</v>
      </c>
      <c r="E10" s="56" t="s">
        <v>6</v>
      </c>
      <c r="F10" s="56" t="s">
        <v>62</v>
      </c>
      <c r="G10" s="323" t="s">
        <v>24</v>
      </c>
      <c r="H10" s="59" t="s">
        <v>29</v>
      </c>
      <c r="I10" s="26" t="s">
        <v>237</v>
      </c>
      <c r="J10" s="85" t="s">
        <v>81</v>
      </c>
      <c r="M10" s="19"/>
      <c r="N10" s="19"/>
      <c r="O10" s="19"/>
    </row>
    <row r="11" spans="2:15">
      <c r="B11" s="56" t="s">
        <v>14</v>
      </c>
      <c r="C11" s="56" t="s">
        <v>2</v>
      </c>
      <c r="D11" s="56" t="s">
        <v>8</v>
      </c>
      <c r="E11" s="56" t="s">
        <v>4</v>
      </c>
      <c r="F11" s="56" t="s">
        <v>63</v>
      </c>
      <c r="G11" s="323" t="s">
        <v>25</v>
      </c>
      <c r="H11" s="59" t="s">
        <v>30</v>
      </c>
      <c r="I11" s="26" t="s">
        <v>238</v>
      </c>
      <c r="J11" s="85" t="s">
        <v>82</v>
      </c>
      <c r="M11" s="19"/>
      <c r="N11" s="19"/>
      <c r="O11" s="19"/>
    </row>
    <row r="12" spans="2:15">
      <c r="B12" s="56" t="s">
        <v>15</v>
      </c>
      <c r="D12" s="56" t="s">
        <v>9</v>
      </c>
      <c r="E12" s="56" t="s">
        <v>10</v>
      </c>
      <c r="F12" s="56" t="s">
        <v>64</v>
      </c>
      <c r="G12" s="323" t="s">
        <v>26</v>
      </c>
      <c r="H12" s="59" t="s">
        <v>31</v>
      </c>
      <c r="I12" s="26" t="s">
        <v>239</v>
      </c>
      <c r="J12" s="85" t="s">
        <v>83</v>
      </c>
      <c r="M12" s="157"/>
      <c r="N12" s="19"/>
      <c r="O12" s="19"/>
    </row>
    <row r="13" spans="2:15">
      <c r="B13" s="56" t="s">
        <v>50</v>
      </c>
      <c r="D13" s="56" t="s">
        <v>11</v>
      </c>
      <c r="E13" s="57"/>
      <c r="F13" s="56" t="s">
        <v>65</v>
      </c>
      <c r="G13" s="323" t="s">
        <v>27</v>
      </c>
      <c r="H13" s="59" t="s">
        <v>32</v>
      </c>
      <c r="I13" s="26" t="s">
        <v>240</v>
      </c>
      <c r="J13" s="85" t="s">
        <v>84</v>
      </c>
      <c r="M13" s="157"/>
      <c r="N13" s="19"/>
      <c r="O13" s="19"/>
    </row>
    <row r="14" spans="2:15">
      <c r="B14" s="56" t="s">
        <v>51</v>
      </c>
      <c r="D14" s="56" t="s">
        <v>18</v>
      </c>
      <c r="F14" s="56" t="s">
        <v>72</v>
      </c>
      <c r="G14" s="323" t="s">
        <v>28</v>
      </c>
      <c r="H14" s="59" t="s">
        <v>33</v>
      </c>
      <c r="I14" s="26" t="s">
        <v>216</v>
      </c>
      <c r="J14" s="85" t="s">
        <v>85</v>
      </c>
      <c r="M14" s="157"/>
      <c r="N14" s="19"/>
      <c r="O14" s="19"/>
    </row>
    <row r="15" spans="2:15">
      <c r="D15" s="56" t="s">
        <v>19</v>
      </c>
      <c r="F15" s="56" t="s">
        <v>73</v>
      </c>
      <c r="H15" s="59" t="s">
        <v>34</v>
      </c>
      <c r="I15" s="26" t="s">
        <v>40</v>
      </c>
      <c r="J15" s="85" t="s">
        <v>86</v>
      </c>
      <c r="M15" s="157"/>
      <c r="N15" s="19"/>
      <c r="O15" s="19"/>
    </row>
    <row r="16" spans="2:15">
      <c r="D16" s="56" t="s">
        <v>20</v>
      </c>
      <c r="F16" s="56" t="s">
        <v>74</v>
      </c>
      <c r="H16" s="59" t="s">
        <v>35</v>
      </c>
      <c r="I16" s="26" t="s">
        <v>41</v>
      </c>
      <c r="J16" s="85" t="s">
        <v>87</v>
      </c>
      <c r="M16" s="157"/>
      <c r="N16" s="19"/>
      <c r="O16" s="19"/>
    </row>
    <row r="17" spans="4:15">
      <c r="D17" s="56" t="s">
        <v>21</v>
      </c>
      <c r="F17" s="56" t="s">
        <v>75</v>
      </c>
      <c r="H17" s="59" t="s">
        <v>36</v>
      </c>
      <c r="I17" s="26" t="s">
        <v>42</v>
      </c>
      <c r="J17" s="85" t="s">
        <v>88</v>
      </c>
      <c r="M17" s="157"/>
      <c r="N17" s="19"/>
      <c r="O17" s="19"/>
    </row>
    <row r="18" spans="4:15">
      <c r="D18" s="56" t="s">
        <v>3</v>
      </c>
      <c r="F18" s="56" t="s">
        <v>76</v>
      </c>
      <c r="H18" s="59" t="s">
        <v>37</v>
      </c>
      <c r="I18" s="26" t="s">
        <v>43</v>
      </c>
      <c r="J18" s="85" t="s">
        <v>89</v>
      </c>
      <c r="M18" s="157"/>
      <c r="N18" s="19"/>
      <c r="O18" s="19"/>
    </row>
    <row r="19" spans="4:15">
      <c r="D19" s="322" t="s">
        <v>269</v>
      </c>
      <c r="F19" s="56" t="s">
        <v>77</v>
      </c>
      <c r="H19" s="59" t="s">
        <v>38</v>
      </c>
      <c r="I19" s="26" t="s">
        <v>44</v>
      </c>
      <c r="J19" s="85" t="s">
        <v>90</v>
      </c>
      <c r="M19" s="157"/>
      <c r="N19" s="19"/>
      <c r="O19" s="19"/>
    </row>
    <row r="20" spans="4:15">
      <c r="D20" s="58"/>
      <c r="F20" s="56" t="s">
        <v>78</v>
      </c>
      <c r="H20" s="59" t="s">
        <v>213</v>
      </c>
      <c r="I20" s="26" t="s">
        <v>45</v>
      </c>
      <c r="J20" s="85" t="s">
        <v>91</v>
      </c>
      <c r="M20" s="19"/>
      <c r="N20" s="19"/>
      <c r="O20" s="19"/>
    </row>
    <row r="21" spans="4:15">
      <c r="D21" s="60"/>
      <c r="F21" s="56" t="s">
        <v>232</v>
      </c>
      <c r="H21" s="60"/>
      <c r="I21" s="26" t="s">
        <v>47</v>
      </c>
      <c r="J21" s="85" t="s">
        <v>92</v>
      </c>
      <c r="M21" s="19"/>
      <c r="N21" s="19"/>
      <c r="O21" s="19"/>
    </row>
    <row r="22" spans="4:15">
      <c r="H22" s="60"/>
      <c r="I22" s="26" t="s">
        <v>48</v>
      </c>
      <c r="J22" s="85" t="s">
        <v>93</v>
      </c>
      <c r="M22" s="19"/>
      <c r="N22" s="19"/>
      <c r="O22" s="19"/>
    </row>
    <row r="23" spans="4:15">
      <c r="I23" s="26" t="s">
        <v>46</v>
      </c>
      <c r="J23" s="85" t="s">
        <v>94</v>
      </c>
      <c r="M23" s="19"/>
      <c r="N23" s="19"/>
      <c r="O23" s="19"/>
    </row>
    <row r="24" spans="4:15">
      <c r="I24" s="26" t="s">
        <v>242</v>
      </c>
      <c r="J24" s="85" t="s">
        <v>95</v>
      </c>
      <c r="M24" s="19"/>
      <c r="N24" s="19"/>
      <c r="O24" s="19"/>
    </row>
    <row r="25" spans="4:15">
      <c r="I25" s="44"/>
      <c r="J25" s="85" t="s">
        <v>96</v>
      </c>
    </row>
    <row r="26" spans="4:15">
      <c r="I26" s="26" t="s">
        <v>243</v>
      </c>
      <c r="J26" s="85" t="s">
        <v>97</v>
      </c>
    </row>
    <row r="27" spans="4:15">
      <c r="I27" s="26" t="s">
        <v>241</v>
      </c>
      <c r="J27" s="85" t="s">
        <v>98</v>
      </c>
    </row>
    <row r="28" spans="4:15">
      <c r="I28" s="44"/>
      <c r="J28" s="85" t="s">
        <v>99</v>
      </c>
    </row>
    <row r="29" spans="4:15">
      <c r="I29" s="44"/>
      <c r="J29" s="85" t="s">
        <v>100</v>
      </c>
    </row>
    <row r="30" spans="4:15">
      <c r="I30" s="44"/>
      <c r="J30" s="85" t="s">
        <v>101</v>
      </c>
    </row>
    <row r="31" spans="4:15">
      <c r="J31" s="85" t="s">
        <v>102</v>
      </c>
    </row>
    <row r="32" spans="4:15">
      <c r="J32" s="85" t="s">
        <v>103</v>
      </c>
    </row>
    <row r="33" spans="10:10">
      <c r="J33" s="85" t="s">
        <v>104</v>
      </c>
    </row>
    <row r="34" spans="10:10">
      <c r="J34" s="85" t="s">
        <v>105</v>
      </c>
    </row>
    <row r="35" spans="10:10">
      <c r="J35" s="85" t="s">
        <v>106</v>
      </c>
    </row>
    <row r="36" spans="10:10">
      <c r="J36" s="85" t="s">
        <v>106</v>
      </c>
    </row>
    <row r="37" spans="10:10">
      <c r="J37" s="85" t="s">
        <v>107</v>
      </c>
    </row>
    <row r="38" spans="10:10">
      <c r="J38" s="85" t="s">
        <v>108</v>
      </c>
    </row>
    <row r="39" spans="10:10">
      <c r="J39" s="85" t="s">
        <v>109</v>
      </c>
    </row>
    <row r="40" spans="10:10">
      <c r="J40" s="85" t="s">
        <v>110</v>
      </c>
    </row>
    <row r="41" spans="10:10">
      <c r="J41" s="85" t="s">
        <v>111</v>
      </c>
    </row>
    <row r="42" spans="10:10">
      <c r="J42" s="85" t="s">
        <v>112</v>
      </c>
    </row>
    <row r="43" spans="10:10">
      <c r="J43" s="85" t="s">
        <v>113</v>
      </c>
    </row>
    <row r="44" spans="10:10">
      <c r="J44" s="85" t="s">
        <v>114</v>
      </c>
    </row>
    <row r="45" spans="10:10">
      <c r="J45" s="85" t="s">
        <v>115</v>
      </c>
    </row>
    <row r="46" spans="10:10">
      <c r="J46" s="85" t="s">
        <v>116</v>
      </c>
    </row>
    <row r="47" spans="10:10">
      <c r="J47" s="85" t="s">
        <v>117</v>
      </c>
    </row>
    <row r="48" spans="10:10">
      <c r="J48" s="85" t="s">
        <v>118</v>
      </c>
    </row>
    <row r="49" spans="10:10">
      <c r="J49" s="85" t="s">
        <v>119</v>
      </c>
    </row>
    <row r="50" spans="10:10">
      <c r="J50" s="85" t="s">
        <v>120</v>
      </c>
    </row>
    <row r="51" spans="10:10">
      <c r="J51" s="85" t="s">
        <v>121</v>
      </c>
    </row>
    <row r="52" spans="10:10">
      <c r="J52" s="85" t="s">
        <v>122</v>
      </c>
    </row>
    <row r="53" spans="10:10">
      <c r="J53" s="85" t="s">
        <v>123</v>
      </c>
    </row>
    <row r="54" spans="10:10">
      <c r="J54" s="85" t="s">
        <v>124</v>
      </c>
    </row>
    <row r="55" spans="10:10">
      <c r="J55" s="85" t="s">
        <v>125</v>
      </c>
    </row>
    <row r="56" spans="10:10">
      <c r="J56" s="85" t="s">
        <v>126</v>
      </c>
    </row>
    <row r="57" spans="10:10">
      <c r="J57" s="85" t="s">
        <v>127</v>
      </c>
    </row>
    <row r="58" spans="10:10">
      <c r="J58" s="85" t="s">
        <v>128</v>
      </c>
    </row>
    <row r="59" spans="10:10">
      <c r="J59" s="85" t="s">
        <v>129</v>
      </c>
    </row>
    <row r="60" spans="10:10">
      <c r="J60" s="85" t="s">
        <v>130</v>
      </c>
    </row>
    <row r="61" spans="10:10">
      <c r="J61" s="85" t="s">
        <v>131</v>
      </c>
    </row>
    <row r="62" spans="10:10">
      <c r="J62" s="85" t="s">
        <v>132</v>
      </c>
    </row>
    <row r="63" spans="10:10">
      <c r="J63" s="85" t="s">
        <v>133</v>
      </c>
    </row>
    <row r="64" spans="10:10">
      <c r="J64" s="85" t="s">
        <v>134</v>
      </c>
    </row>
    <row r="65" spans="10:10">
      <c r="J65" s="85" t="s">
        <v>135</v>
      </c>
    </row>
    <row r="66" spans="10:10">
      <c r="J66" s="85" t="s">
        <v>136</v>
      </c>
    </row>
    <row r="67" spans="10:10">
      <c r="J67" s="85" t="s">
        <v>137</v>
      </c>
    </row>
    <row r="68" spans="10:10">
      <c r="J68" s="85" t="s">
        <v>138</v>
      </c>
    </row>
    <row r="69" spans="10:10">
      <c r="J69" s="85" t="s">
        <v>139</v>
      </c>
    </row>
    <row r="70" spans="10:10">
      <c r="J70" s="85" t="s">
        <v>140</v>
      </c>
    </row>
    <row r="71" spans="10:10">
      <c r="J71" s="85" t="s">
        <v>141</v>
      </c>
    </row>
    <row r="72" spans="10:10">
      <c r="J72" s="85" t="s">
        <v>142</v>
      </c>
    </row>
    <row r="73" spans="10:10">
      <c r="J73" s="85" t="s">
        <v>143</v>
      </c>
    </row>
    <row r="74" spans="10:10">
      <c r="J74" s="85" t="s">
        <v>144</v>
      </c>
    </row>
    <row r="75" spans="10:10">
      <c r="J75" s="85" t="s">
        <v>145</v>
      </c>
    </row>
    <row r="76" spans="10:10">
      <c r="J76" s="85" t="s">
        <v>146</v>
      </c>
    </row>
    <row r="77" spans="10:10">
      <c r="J77" s="85" t="s">
        <v>147</v>
      </c>
    </row>
    <row r="78" spans="10:10">
      <c r="J78" s="85" t="s">
        <v>148</v>
      </c>
    </row>
    <row r="79" spans="10:10">
      <c r="J79" s="85" t="s">
        <v>149</v>
      </c>
    </row>
    <row r="80" spans="10:10">
      <c r="J80" s="85" t="s">
        <v>150</v>
      </c>
    </row>
    <row r="81" spans="10:10">
      <c r="J81" s="85" t="s">
        <v>151</v>
      </c>
    </row>
    <row r="82" spans="10:10">
      <c r="J82" s="85" t="s">
        <v>152</v>
      </c>
    </row>
    <row r="83" spans="10:10">
      <c r="J83" s="85" t="s">
        <v>153</v>
      </c>
    </row>
    <row r="84" spans="10:10">
      <c r="J84" s="85" t="s">
        <v>154</v>
      </c>
    </row>
    <row r="85" spans="10:10">
      <c r="J85" s="85" t="s">
        <v>155</v>
      </c>
    </row>
    <row r="86" spans="10:10">
      <c r="J86" s="85" t="s">
        <v>156</v>
      </c>
    </row>
    <row r="87" spans="10:10">
      <c r="J87" s="85" t="s">
        <v>157</v>
      </c>
    </row>
    <row r="88" spans="10:10">
      <c r="J88" s="85" t="s">
        <v>158</v>
      </c>
    </row>
    <row r="89" spans="10:10">
      <c r="J89" s="85" t="s">
        <v>159</v>
      </c>
    </row>
    <row r="90" spans="10:10">
      <c r="J90" s="85" t="s">
        <v>160</v>
      </c>
    </row>
    <row r="91" spans="10:10">
      <c r="J91" s="85" t="s">
        <v>161</v>
      </c>
    </row>
    <row r="92" spans="10:10">
      <c r="J92" s="85" t="s">
        <v>162</v>
      </c>
    </row>
    <row r="93" spans="10:10">
      <c r="J93" s="85" t="s">
        <v>163</v>
      </c>
    </row>
    <row r="94" spans="10:10">
      <c r="J94" s="85" t="s">
        <v>164</v>
      </c>
    </row>
    <row r="95" spans="10:10">
      <c r="J95" s="85" t="s">
        <v>165</v>
      </c>
    </row>
    <row r="96" spans="10:10">
      <c r="J96" s="85" t="s">
        <v>166</v>
      </c>
    </row>
    <row r="97" spans="10:10">
      <c r="J97" s="85" t="s">
        <v>167</v>
      </c>
    </row>
    <row r="98" spans="10:10">
      <c r="J98" s="85" t="s">
        <v>168</v>
      </c>
    </row>
    <row r="99" spans="10:10">
      <c r="J99" s="85" t="s">
        <v>169</v>
      </c>
    </row>
    <row r="100" spans="10:10">
      <c r="J100" s="85" t="s">
        <v>170</v>
      </c>
    </row>
    <row r="101" spans="10:10">
      <c r="J101" s="85" t="s">
        <v>171</v>
      </c>
    </row>
    <row r="102" spans="10:10">
      <c r="J102" s="85" t="s">
        <v>172</v>
      </c>
    </row>
    <row r="103" spans="10:10">
      <c r="J103" s="85" t="s">
        <v>173</v>
      </c>
    </row>
    <row r="104" spans="10:10">
      <c r="J104" s="85" t="s">
        <v>174</v>
      </c>
    </row>
    <row r="105" spans="10:10">
      <c r="J105" s="85" t="s">
        <v>175</v>
      </c>
    </row>
    <row r="106" spans="10:10">
      <c r="J106" s="85" t="s">
        <v>176</v>
      </c>
    </row>
    <row r="107" spans="10:10">
      <c r="J107" s="85" t="s">
        <v>177</v>
      </c>
    </row>
    <row r="108" spans="10:10">
      <c r="J108" s="85" t="s">
        <v>178</v>
      </c>
    </row>
    <row r="109" spans="10:10">
      <c r="J109" s="85" t="s">
        <v>179</v>
      </c>
    </row>
    <row r="110" spans="10:10">
      <c r="J110" s="85" t="s">
        <v>180</v>
      </c>
    </row>
    <row r="111" spans="10:10">
      <c r="J111" s="85" t="s">
        <v>49</v>
      </c>
    </row>
    <row r="112" spans="10:10">
      <c r="J112" s="85" t="s">
        <v>181</v>
      </c>
    </row>
    <row r="113" spans="10:10">
      <c r="J113" s="85" t="s">
        <v>182</v>
      </c>
    </row>
    <row r="114" spans="10:10">
      <c r="J114" s="85" t="s">
        <v>183</v>
      </c>
    </row>
    <row r="115" spans="10:10">
      <c r="J115" s="85" t="s">
        <v>184</v>
      </c>
    </row>
    <row r="116" spans="10:10">
      <c r="J116" s="85" t="s">
        <v>185</v>
      </c>
    </row>
    <row r="117" spans="10:10">
      <c r="J117" s="85" t="s">
        <v>186</v>
      </c>
    </row>
    <row r="118" spans="10:10">
      <c r="J118" s="85" t="s">
        <v>187</v>
      </c>
    </row>
    <row r="119" spans="10:10">
      <c r="J119" s="85" t="s">
        <v>188</v>
      </c>
    </row>
    <row r="120" spans="10:10">
      <c r="J120" s="85" t="s">
        <v>189</v>
      </c>
    </row>
    <row r="121" spans="10:10">
      <c r="J121" s="85" t="s">
        <v>190</v>
      </c>
    </row>
    <row r="122" spans="10:10">
      <c r="J122" s="85" t="s">
        <v>191</v>
      </c>
    </row>
    <row r="123" spans="10:10">
      <c r="J123" s="85" t="s">
        <v>192</v>
      </c>
    </row>
    <row r="124" spans="10:10">
      <c r="J124" s="85" t="s">
        <v>193</v>
      </c>
    </row>
    <row r="125" spans="10:10">
      <c r="J125" s="85" t="s">
        <v>194</v>
      </c>
    </row>
    <row r="126" spans="10:10">
      <c r="J126" s="85" t="s">
        <v>195</v>
      </c>
    </row>
    <row r="127" spans="10:10">
      <c r="J127" s="85" t="s">
        <v>196</v>
      </c>
    </row>
    <row r="128" spans="10:10">
      <c r="J128" s="85" t="s">
        <v>197</v>
      </c>
    </row>
    <row r="129" spans="10:10">
      <c r="J129" s="85" t="s">
        <v>198</v>
      </c>
    </row>
    <row r="130" spans="10:10">
      <c r="J130" s="85" t="s">
        <v>199</v>
      </c>
    </row>
    <row r="131" spans="10:10">
      <c r="J131" s="85" t="s">
        <v>200</v>
      </c>
    </row>
    <row r="132" spans="10:10">
      <c r="J132" s="85" t="s">
        <v>201</v>
      </c>
    </row>
    <row r="133" spans="10:10">
      <c r="J133" s="85" t="s">
        <v>202</v>
      </c>
    </row>
    <row r="134" spans="10:10">
      <c r="J134" s="85" t="s">
        <v>203</v>
      </c>
    </row>
    <row r="135" spans="10:10">
      <c r="J135" s="85" t="s">
        <v>204</v>
      </c>
    </row>
    <row r="136" spans="10:10">
      <c r="J136" s="85" t="s">
        <v>205</v>
      </c>
    </row>
    <row r="137" spans="10:10">
      <c r="J137" s="85" t="s">
        <v>206</v>
      </c>
    </row>
    <row r="138" spans="10:10">
      <c r="J138" s="85" t="s">
        <v>207</v>
      </c>
    </row>
    <row r="139" spans="10:10">
      <c r="J139" s="85" t="s">
        <v>208</v>
      </c>
    </row>
    <row r="140" spans="10:10">
      <c r="J140" s="85" t="s">
        <v>209</v>
      </c>
    </row>
    <row r="141" spans="10:10">
      <c r="J141" s="85" t="s">
        <v>210</v>
      </c>
    </row>
    <row r="142" spans="10:10">
      <c r="J142" s="85" t="s">
        <v>211</v>
      </c>
    </row>
    <row r="143" spans="10:10">
      <c r="J143" s="85" t="s">
        <v>212</v>
      </c>
    </row>
    <row r="144" spans="10:10">
      <c r="J144" s="318"/>
    </row>
  </sheetData>
  <mergeCells count="2">
    <mergeCell ref="B3:H3"/>
    <mergeCell ref="B6:H6"/>
  </mergeCells>
  <phoneticPr fontId="23" type="noConversion"/>
  <dataValidations count="1">
    <dataValidation type="list" allowBlank="1" showInputMessage="1" showErrorMessage="1" sqref="M28" xr:uid="{00000000-0002-0000-0900-000000000000}">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0"/>
  <sheetViews>
    <sheetView workbookViewId="0">
      <selection activeCell="P39" sqref="P39"/>
    </sheetView>
  </sheetViews>
  <sheetFormatPr defaultRowHeight="15"/>
  <sheetData>
    <row r="1" spans="1:1">
      <c r="A1" s="360" t="s">
        <v>280</v>
      </c>
    </row>
    <row r="2" spans="1:1" ht="15" customHeight="1">
      <c r="A2" s="361" t="s">
        <v>368</v>
      </c>
    </row>
    <row r="3" spans="1:1">
      <c r="A3" s="360">
        <v>1.1000000000000001</v>
      </c>
    </row>
    <row r="4" spans="1:1">
      <c r="A4" s="361">
        <v>1.2</v>
      </c>
    </row>
    <row r="5" spans="1:1">
      <c r="A5" s="361">
        <v>1.3</v>
      </c>
    </row>
    <row r="6" spans="1:1">
      <c r="A6" s="360">
        <v>1.4</v>
      </c>
    </row>
    <row r="7" spans="1:1" ht="15.75" thickBot="1">
      <c r="A7" s="361">
        <v>1.5</v>
      </c>
    </row>
    <row r="8" spans="1:1">
      <c r="A8" s="362">
        <v>1.7</v>
      </c>
    </row>
    <row r="9" spans="1:1">
      <c r="A9" s="360">
        <v>2.1</v>
      </c>
    </row>
    <row r="10" spans="1:1">
      <c r="A10" s="361">
        <v>2.2999999999999998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V48"/>
  <sheetViews>
    <sheetView showGridLines="0" view="pageBreakPreview" zoomScale="80" zoomScaleNormal="70" zoomScaleSheetLayoutView="80" workbookViewId="0">
      <pane ySplit="2" topLeftCell="A18" activePane="bottomLeft" state="frozen"/>
      <selection activeCell="E22" sqref="E22"/>
      <selection pane="bottomLeft" activeCell="B23" sqref="B23:D24"/>
    </sheetView>
  </sheetViews>
  <sheetFormatPr defaultColWidth="11" defaultRowHeight="15"/>
  <cols>
    <col min="1" max="1" width="2.7109375" customWidth="1"/>
    <col min="2" max="2" width="21.42578125" customWidth="1"/>
    <col min="3" max="3" width="18" customWidth="1"/>
    <col min="4" max="4" width="17" customWidth="1"/>
    <col min="5" max="5" width="16.42578125" customWidth="1"/>
    <col min="6" max="6" width="15.7109375" customWidth="1"/>
    <col min="7" max="7" width="37.28515625" customWidth="1"/>
    <col min="8" max="8" width="17.28515625" customWidth="1"/>
    <col min="9" max="9" width="30" customWidth="1"/>
    <col min="10" max="10" width="14.140625" customWidth="1"/>
    <col min="11" max="11" width="12.85546875" customWidth="1"/>
    <col min="12" max="12" width="10.28515625" customWidth="1"/>
    <col min="13" max="13" width="36.7109375" customWidth="1"/>
    <col min="14" max="14" width="2.85546875" style="35" customWidth="1"/>
    <col min="15" max="15" width="3" style="35"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68" t="str">
        <f>+"Tabel Programatic de Evaluare: "&amp;" "&amp;+IF('Introducerea datelor'!C4="Please Select","",'Introducerea datelor'!C4&amp;" - ")&amp;+IF('Introducerea datelor'!G6="Please Select","",'Introducerea datelor'!G6)</f>
        <v>Tabel Programatic de Evaluare:  Moldova - TB</v>
      </c>
      <c r="C2" s="568"/>
      <c r="D2" s="568"/>
      <c r="E2" s="568"/>
      <c r="F2" s="568"/>
      <c r="G2" s="568"/>
      <c r="H2" s="568"/>
      <c r="I2" s="568"/>
      <c r="J2" s="568"/>
      <c r="K2" s="568"/>
      <c r="L2" s="568"/>
      <c r="M2" s="568"/>
    </row>
    <row r="3" spans="1:15" ht="15.75" customHeight="1">
      <c r="A3" s="3"/>
      <c r="B3" s="180"/>
      <c r="C3" s="180"/>
      <c r="D3" s="180"/>
      <c r="E3" s="180"/>
      <c r="F3" s="180"/>
      <c r="G3" s="180"/>
      <c r="H3" s="180"/>
      <c r="I3" s="180"/>
      <c r="J3" s="180"/>
      <c r="K3" s="181"/>
      <c r="L3" s="181"/>
      <c r="M3" s="3"/>
    </row>
    <row r="5" spans="1:15" ht="23.25">
      <c r="B5" s="569" t="s">
        <v>228</v>
      </c>
      <c r="C5" s="569"/>
      <c r="D5" s="569"/>
      <c r="E5" s="569"/>
      <c r="F5" s="569"/>
      <c r="G5" s="569"/>
      <c r="H5" s="569"/>
      <c r="I5" s="569"/>
      <c r="J5" s="569"/>
      <c r="K5" s="569"/>
      <c r="L5" s="569"/>
      <c r="M5" s="569"/>
      <c r="N5" s="569"/>
      <c r="O5" s="569"/>
    </row>
    <row r="7" spans="1:15" ht="21">
      <c r="B7" s="570" t="s">
        <v>217</v>
      </c>
      <c r="C7" s="571"/>
      <c r="D7" s="572"/>
      <c r="E7" s="570" t="s">
        <v>218</v>
      </c>
      <c r="F7" s="571"/>
      <c r="G7" s="571"/>
      <c r="H7" s="571"/>
      <c r="I7" s="572"/>
      <c r="J7" s="570" t="s">
        <v>219</v>
      </c>
      <c r="K7" s="571"/>
      <c r="L7" s="572"/>
      <c r="M7" s="570" t="s">
        <v>253</v>
      </c>
      <c r="N7" s="571"/>
      <c r="O7" s="572"/>
    </row>
    <row r="8" spans="1:15" ht="92.25" customHeight="1">
      <c r="B8" s="573" t="str">
        <f>+'Introducerea datelor'!B27</f>
        <v>F1: Bugetul și debursările de către Fondul Global</v>
      </c>
      <c r="C8" s="574"/>
      <c r="D8" s="575"/>
      <c r="E8" s="576" t="s">
        <v>272</v>
      </c>
      <c r="F8" s="577"/>
      <c r="G8" s="577"/>
      <c r="H8" s="577"/>
      <c r="I8" s="578"/>
      <c r="J8" s="555" t="s">
        <v>254</v>
      </c>
      <c r="K8" s="556"/>
      <c r="L8" s="557"/>
      <c r="M8" s="555" t="s">
        <v>273</v>
      </c>
      <c r="N8" s="556"/>
      <c r="O8" s="557"/>
    </row>
    <row r="9" spans="1:15" ht="110.25" customHeight="1">
      <c r="B9" s="573" t="str">
        <f>+'Introducerea datelor'!B36</f>
        <v>F2: Bugetul și cheltuielile actuale după Obiectivele Grantului</v>
      </c>
      <c r="C9" s="574"/>
      <c r="D9" s="575"/>
      <c r="E9" s="563" t="s">
        <v>262</v>
      </c>
      <c r="F9" s="564"/>
      <c r="G9" s="564"/>
      <c r="H9" s="564"/>
      <c r="I9" s="565"/>
      <c r="J9" s="555" t="s">
        <v>256</v>
      </c>
      <c r="K9" s="556"/>
      <c r="L9" s="557"/>
      <c r="M9" s="555" t="s">
        <v>273</v>
      </c>
      <c r="N9" s="556"/>
      <c r="O9" s="557"/>
    </row>
    <row r="10" spans="1:15" ht="231.75" customHeight="1">
      <c r="B10" s="558" t="str">
        <f>+'Introducerea datelor'!B48</f>
        <v>F3: Debursări și cheltuieli</v>
      </c>
      <c r="C10" s="561"/>
      <c r="D10" s="562"/>
      <c r="E10" s="563" t="s">
        <v>274</v>
      </c>
      <c r="F10" s="564"/>
      <c r="G10" s="564"/>
      <c r="H10" s="564"/>
      <c r="I10" s="565"/>
      <c r="J10" s="555" t="s">
        <v>263</v>
      </c>
      <c r="K10" s="556"/>
      <c r="L10" s="557"/>
      <c r="M10" s="555" t="s">
        <v>255</v>
      </c>
      <c r="N10" s="556"/>
      <c r="O10" s="557"/>
    </row>
    <row r="11" spans="1:15" ht="279.75" customHeight="1">
      <c r="B11" s="558" t="str">
        <f>+'Introducerea datelor'!B57</f>
        <v xml:space="preserve">F4: Ultima perioadă de raportare și debursare a RP </v>
      </c>
      <c r="C11" s="559"/>
      <c r="D11" s="560"/>
      <c r="E11" s="563" t="s">
        <v>277</v>
      </c>
      <c r="F11" s="564"/>
      <c r="G11" s="564"/>
      <c r="H11" s="564"/>
      <c r="I11" s="565"/>
      <c r="J11" s="555" t="s">
        <v>264</v>
      </c>
      <c r="K11" s="556"/>
      <c r="L11" s="557"/>
      <c r="M11" s="555" t="s">
        <v>222</v>
      </c>
      <c r="N11" s="556"/>
      <c r="O11" s="557"/>
    </row>
    <row r="12" spans="1:15" s="19" customFormat="1">
      <c r="B12" s="566"/>
      <c r="C12" s="566"/>
      <c r="D12" s="566"/>
      <c r="E12" s="554"/>
      <c r="F12" s="554"/>
      <c r="G12" s="554"/>
      <c r="H12" s="554"/>
      <c r="I12" s="554"/>
      <c r="J12" s="554"/>
      <c r="K12" s="554"/>
      <c r="L12" s="554"/>
      <c r="M12" s="554"/>
      <c r="N12" s="554"/>
      <c r="O12" s="554"/>
    </row>
    <row r="13" spans="1:15" s="19" customFormat="1" ht="9" customHeight="1">
      <c r="B13" s="567"/>
      <c r="C13" s="567"/>
      <c r="D13" s="567"/>
      <c r="E13" s="553"/>
      <c r="F13" s="553"/>
      <c r="G13" s="553"/>
      <c r="H13" s="553"/>
      <c r="I13" s="553"/>
      <c r="J13" s="553"/>
      <c r="K13" s="553"/>
      <c r="L13" s="553"/>
      <c r="M13" s="553"/>
      <c r="N13" s="553"/>
      <c r="O13" s="553"/>
    </row>
    <row r="14" spans="1:15" s="19" customFormat="1" ht="9.75" customHeight="1">
      <c r="B14" s="567"/>
      <c r="C14" s="567"/>
      <c r="D14" s="567"/>
      <c r="E14" s="553"/>
      <c r="F14" s="553"/>
      <c r="G14" s="553"/>
      <c r="H14" s="553"/>
      <c r="I14" s="553"/>
      <c r="J14" s="553"/>
      <c r="K14" s="553"/>
      <c r="L14" s="553"/>
      <c r="M14" s="553"/>
      <c r="N14" s="553"/>
      <c r="O14" s="553"/>
    </row>
    <row r="15" spans="1:15" s="19" customFormat="1">
      <c r="B15" s="567"/>
      <c r="C15" s="567"/>
      <c r="D15" s="567"/>
      <c r="E15" s="553"/>
      <c r="F15" s="553"/>
      <c r="G15" s="553"/>
      <c r="H15" s="553"/>
      <c r="I15" s="553"/>
      <c r="J15" s="553"/>
      <c r="K15" s="553"/>
      <c r="L15" s="553"/>
      <c r="M15" s="553"/>
      <c r="N15" s="553"/>
      <c r="O15" s="553"/>
    </row>
    <row r="16" spans="1:15" ht="18" customHeight="1">
      <c r="B16" s="569" t="s">
        <v>229</v>
      </c>
      <c r="C16" s="569"/>
      <c r="D16" s="569"/>
      <c r="E16" s="569"/>
      <c r="F16" s="569"/>
      <c r="G16" s="569"/>
      <c r="H16" s="569"/>
      <c r="I16" s="569"/>
      <c r="J16" s="569"/>
      <c r="K16" s="569"/>
      <c r="L16" s="569"/>
      <c r="M16" s="569"/>
      <c r="N16" s="569"/>
      <c r="O16" s="569"/>
    </row>
    <row r="17" spans="1:15" ht="9" customHeight="1"/>
    <row r="18" spans="1:15" ht="21">
      <c r="B18" s="579" t="s">
        <v>217</v>
      </c>
      <c r="C18" s="580"/>
      <c r="D18" s="581"/>
      <c r="E18" s="579" t="s">
        <v>218</v>
      </c>
      <c r="F18" s="580"/>
      <c r="G18" s="580"/>
      <c r="H18" s="580"/>
      <c r="I18" s="581"/>
      <c r="J18" s="579" t="s">
        <v>219</v>
      </c>
      <c r="K18" s="580"/>
      <c r="L18" s="581"/>
      <c r="M18" s="579" t="s">
        <v>220</v>
      </c>
      <c r="N18" s="580"/>
      <c r="O18" s="581"/>
    </row>
    <row r="19" spans="1:15" ht="114" customHeight="1">
      <c r="B19" s="573" t="str">
        <f>+'Introducerea datelor'!B68</f>
        <v xml:space="preserve">M1: Statutul Condițiilor Precedente și a Acțiunilor Prestabilite în Timp </v>
      </c>
      <c r="C19" s="582"/>
      <c r="D19" s="583"/>
      <c r="E19" s="563" t="s">
        <v>227</v>
      </c>
      <c r="F19" s="564"/>
      <c r="G19" s="564"/>
      <c r="H19" s="564"/>
      <c r="I19" s="565"/>
      <c r="J19" s="555" t="s">
        <v>257</v>
      </c>
      <c r="K19" s="556"/>
      <c r="L19" s="557"/>
      <c r="M19" s="555" t="s">
        <v>258</v>
      </c>
      <c r="N19" s="556"/>
      <c r="O19" s="557"/>
    </row>
    <row r="20" spans="1:15" ht="91.5" customHeight="1">
      <c r="B20" s="573" t="str">
        <f>+'Introducerea datelor'!B75</f>
        <v xml:space="preserve">M2: Statutul pozițiilor cheie a RP </v>
      </c>
      <c r="C20" s="582"/>
      <c r="D20" s="583"/>
      <c r="E20" s="563" t="s">
        <v>275</v>
      </c>
      <c r="F20" s="564"/>
      <c r="G20" s="564"/>
      <c r="H20" s="564"/>
      <c r="I20" s="565"/>
      <c r="J20" s="555" t="s">
        <v>224</v>
      </c>
      <c r="K20" s="556"/>
      <c r="L20" s="557"/>
      <c r="M20" s="555" t="s">
        <v>223</v>
      </c>
      <c r="N20" s="556"/>
      <c r="O20" s="557"/>
    </row>
    <row r="21" spans="1:15" ht="171.75" customHeight="1">
      <c r="B21" s="573" t="str">
        <f>+'Introducerea datelor'!B80</f>
        <v xml:space="preserve">M3: Aranjamente contractuale (SR) </v>
      </c>
      <c r="C21" s="582"/>
      <c r="D21" s="583"/>
      <c r="E21" s="587" t="s">
        <v>0</v>
      </c>
      <c r="F21" s="564"/>
      <c r="G21" s="564"/>
      <c r="H21" s="564"/>
      <c r="I21" s="565"/>
      <c r="J21" s="555" t="s">
        <v>259</v>
      </c>
      <c r="K21" s="556"/>
      <c r="L21" s="557"/>
      <c r="M21" s="555" t="s">
        <v>260</v>
      </c>
      <c r="N21" s="556"/>
      <c r="O21" s="557"/>
    </row>
    <row r="22" spans="1:15" ht="74.25" customHeight="1">
      <c r="B22" s="573" t="str">
        <f>+'Introducerea datelor'!B85</f>
        <v>M4: Numărul rapoartelor complete recepționate la timp</v>
      </c>
      <c r="C22" s="582"/>
      <c r="D22" s="583"/>
      <c r="E22" s="587" t="s">
        <v>278</v>
      </c>
      <c r="F22" s="612"/>
      <c r="G22" s="612"/>
      <c r="H22" s="612"/>
      <c r="I22" s="613"/>
      <c r="J22" s="555" t="s">
        <v>265</v>
      </c>
      <c r="K22" s="556"/>
      <c r="L22" s="557"/>
      <c r="M22" s="555" t="s">
        <v>225</v>
      </c>
      <c r="N22" s="556"/>
      <c r="O22" s="557"/>
    </row>
    <row r="23" spans="1:15" ht="135" customHeight="1">
      <c r="B23" s="597" t="str">
        <f>+'Introducerea datelor'!B91</f>
        <v xml:space="preserve">M5: Bugetul și Procurarea produselor medicale, echipamentului medical, medicamentelor și produselor farmaceutice </v>
      </c>
      <c r="C23" s="598"/>
      <c r="D23" s="599"/>
      <c r="E23" s="584" t="s">
        <v>266</v>
      </c>
      <c r="F23" s="585"/>
      <c r="G23" s="585"/>
      <c r="H23" s="585"/>
      <c r="I23" s="586"/>
      <c r="J23" s="606" t="s">
        <v>221</v>
      </c>
      <c r="K23" s="607"/>
      <c r="L23" s="608"/>
      <c r="M23" s="606" t="s">
        <v>226</v>
      </c>
      <c r="N23" s="607"/>
      <c r="O23" s="608"/>
    </row>
    <row r="24" spans="1:15" ht="97.5" customHeight="1">
      <c r="B24" s="600"/>
      <c r="C24" s="601"/>
      <c r="D24" s="602"/>
      <c r="E24" s="603" t="s">
        <v>261</v>
      </c>
      <c r="F24" s="604"/>
      <c r="G24" s="604"/>
      <c r="H24" s="604"/>
      <c r="I24" s="605"/>
      <c r="J24" s="609"/>
      <c r="K24" s="610"/>
      <c r="L24" s="611"/>
      <c r="M24" s="609"/>
      <c r="N24" s="610"/>
      <c r="O24" s="611"/>
    </row>
    <row r="25" spans="1:15" ht="196.5" customHeight="1">
      <c r="B25" s="573" t="str">
        <f>+'Introducerea datelor'!B104</f>
        <v>M6: Diferență între stocul curent și stocul de siguranță</v>
      </c>
      <c r="C25" s="582"/>
      <c r="D25" s="583"/>
      <c r="E25" s="588" t="s">
        <v>279</v>
      </c>
      <c r="F25" s="589"/>
      <c r="G25" s="589"/>
      <c r="H25" s="589"/>
      <c r="I25" s="590"/>
      <c r="J25" s="591" t="s">
        <v>267</v>
      </c>
      <c r="K25" s="592"/>
      <c r="L25" s="593"/>
      <c r="M25" s="594" t="s">
        <v>268</v>
      </c>
      <c r="N25" s="595"/>
      <c r="O25" s="596"/>
    </row>
    <row r="26" spans="1:15" ht="11.25" customHeight="1"/>
    <row r="28" spans="1:15" ht="7.5" customHeight="1"/>
    <row r="29" spans="1:15" ht="9.75" customHeight="1">
      <c r="B29" s="206"/>
    </row>
    <row r="30" spans="1:15" ht="21" customHeight="1">
      <c r="B30" s="569" t="s">
        <v>424</v>
      </c>
      <c r="C30" s="569"/>
      <c r="D30" s="569"/>
      <c r="E30" s="569"/>
      <c r="F30" s="569"/>
      <c r="G30" s="569"/>
      <c r="H30" s="569"/>
      <c r="I30" s="569"/>
      <c r="J30" s="569"/>
      <c r="K30" s="569"/>
      <c r="L30" s="569"/>
      <c r="M30" s="569"/>
      <c r="N30" s="569"/>
      <c r="O30" s="569"/>
    </row>
    <row r="31" spans="1:15" ht="12.75" customHeight="1"/>
    <row r="32" spans="1:15" ht="28.5" customHeight="1">
      <c r="A32" s="203"/>
      <c r="B32" s="617" t="s">
        <v>252</v>
      </c>
      <c r="C32" s="618"/>
      <c r="D32" s="619"/>
      <c r="E32" s="620" t="s">
        <v>454</v>
      </c>
      <c r="F32" s="621"/>
      <c r="G32" s="621"/>
      <c r="H32" s="621"/>
      <c r="I32" s="622"/>
      <c r="J32" s="620" t="s">
        <v>412</v>
      </c>
      <c r="K32" s="621"/>
      <c r="L32" s="622"/>
      <c r="M32" s="620" t="s">
        <v>413</v>
      </c>
      <c r="N32" s="621"/>
      <c r="O32" s="622"/>
    </row>
    <row r="33" spans="1:15" ht="66.75" customHeight="1">
      <c r="A33" s="204"/>
      <c r="B33" s="623" t="s">
        <v>446</v>
      </c>
      <c r="C33" s="624"/>
      <c r="D33" s="625"/>
      <c r="E33" s="641" t="s">
        <v>416</v>
      </c>
      <c r="F33" s="642"/>
      <c r="G33" s="642"/>
      <c r="H33" s="642"/>
      <c r="I33" s="643"/>
      <c r="J33" s="626" t="s">
        <v>414</v>
      </c>
      <c r="K33" s="627"/>
      <c r="L33" s="628"/>
      <c r="M33" s="626" t="s">
        <v>415</v>
      </c>
      <c r="N33" s="627"/>
      <c r="O33" s="628"/>
    </row>
    <row r="34" spans="1:15" ht="63" customHeight="1">
      <c r="A34" s="204"/>
      <c r="B34" s="623" t="s">
        <v>447</v>
      </c>
      <c r="C34" s="624"/>
      <c r="D34" s="625"/>
      <c r="E34" s="641" t="s">
        <v>457</v>
      </c>
      <c r="F34" s="642"/>
      <c r="G34" s="642"/>
      <c r="H34" s="642"/>
      <c r="I34" s="643"/>
      <c r="J34" s="626" t="s">
        <v>414</v>
      </c>
      <c r="K34" s="627"/>
      <c r="L34" s="628"/>
      <c r="M34" s="649" t="s">
        <v>455</v>
      </c>
      <c r="N34" s="650"/>
      <c r="O34" s="651"/>
    </row>
    <row r="35" spans="1:15" ht="9.75" customHeight="1">
      <c r="A35" s="204"/>
      <c r="B35" s="638"/>
      <c r="C35" s="639"/>
      <c r="D35" s="640"/>
      <c r="E35" s="403"/>
      <c r="F35" s="401"/>
      <c r="G35" s="401"/>
      <c r="H35" s="401"/>
      <c r="I35" s="402"/>
      <c r="J35" s="403"/>
      <c r="K35" s="404"/>
      <c r="L35" s="405"/>
      <c r="M35" s="403"/>
      <c r="N35" s="404"/>
      <c r="O35" s="405"/>
    </row>
    <row r="36" spans="1:15" ht="76.5" customHeight="1">
      <c r="A36" s="204"/>
      <c r="B36" s="623" t="s">
        <v>448</v>
      </c>
      <c r="C36" s="624"/>
      <c r="D36" s="625"/>
      <c r="E36" s="626" t="s">
        <v>467</v>
      </c>
      <c r="F36" s="644"/>
      <c r="G36" s="644"/>
      <c r="H36" s="644"/>
      <c r="I36" s="645"/>
      <c r="J36" s="626" t="s">
        <v>426</v>
      </c>
      <c r="K36" s="627"/>
      <c r="L36" s="628"/>
      <c r="M36" s="626" t="s">
        <v>456</v>
      </c>
      <c r="N36" s="627"/>
      <c r="O36" s="628"/>
    </row>
    <row r="37" spans="1:15" ht="69" customHeight="1">
      <c r="A37" s="204"/>
      <c r="B37" s="623" t="s">
        <v>449</v>
      </c>
      <c r="C37" s="624"/>
      <c r="D37" s="625"/>
      <c r="E37" s="626" t="s">
        <v>459</v>
      </c>
      <c r="F37" s="627"/>
      <c r="G37" s="627"/>
      <c r="H37" s="627"/>
      <c r="I37" s="628"/>
      <c r="J37" s="626" t="s">
        <v>426</v>
      </c>
      <c r="K37" s="627"/>
      <c r="L37" s="628"/>
      <c r="M37" s="626" t="s">
        <v>463</v>
      </c>
      <c r="N37" s="627"/>
      <c r="O37" s="628"/>
    </row>
    <row r="38" spans="1:15" ht="9.75" customHeight="1">
      <c r="A38" s="204"/>
      <c r="B38" s="638"/>
      <c r="C38" s="639"/>
      <c r="D38" s="640"/>
      <c r="E38" s="403"/>
      <c r="F38" s="476"/>
      <c r="G38" s="476"/>
      <c r="H38" s="476"/>
      <c r="I38" s="477"/>
      <c r="J38" s="403"/>
      <c r="K38" s="404"/>
      <c r="L38" s="405"/>
      <c r="M38" s="403"/>
      <c r="N38" s="404"/>
      <c r="O38" s="405"/>
    </row>
    <row r="39" spans="1:15" ht="55.5" customHeight="1">
      <c r="A39" s="204"/>
      <c r="B39" s="623" t="s">
        <v>450</v>
      </c>
      <c r="C39" s="624"/>
      <c r="D39" s="625"/>
      <c r="E39" s="626" t="s">
        <v>462</v>
      </c>
      <c r="F39" s="627"/>
      <c r="G39" s="627"/>
      <c r="H39" s="627"/>
      <c r="I39" s="628"/>
      <c r="J39" s="626" t="s">
        <v>427</v>
      </c>
      <c r="K39" s="627"/>
      <c r="L39" s="628"/>
      <c r="M39" s="646" t="s">
        <v>466</v>
      </c>
      <c r="N39" s="647"/>
      <c r="O39" s="648"/>
    </row>
    <row r="40" spans="1:15" ht="68.25" customHeight="1">
      <c r="A40" s="204"/>
      <c r="B40" s="623" t="s">
        <v>451</v>
      </c>
      <c r="C40" s="624"/>
      <c r="D40" s="625"/>
      <c r="E40" s="626" t="s">
        <v>461</v>
      </c>
      <c r="F40" s="627"/>
      <c r="G40" s="627"/>
      <c r="H40" s="627"/>
      <c r="I40" s="628"/>
      <c r="J40" s="626" t="s">
        <v>427</v>
      </c>
      <c r="K40" s="627"/>
      <c r="L40" s="628"/>
      <c r="M40" s="626" t="s">
        <v>464</v>
      </c>
      <c r="N40" s="627"/>
      <c r="O40" s="628"/>
    </row>
    <row r="41" spans="1:15" ht="52.5" customHeight="1">
      <c r="B41" s="623" t="s">
        <v>452</v>
      </c>
      <c r="C41" s="624"/>
      <c r="D41" s="625"/>
      <c r="E41" s="626" t="s">
        <v>460</v>
      </c>
      <c r="F41" s="627"/>
      <c r="G41" s="627"/>
      <c r="H41" s="627"/>
      <c r="I41" s="628"/>
      <c r="J41" s="626" t="s">
        <v>427</v>
      </c>
      <c r="K41" s="627"/>
      <c r="L41" s="628"/>
      <c r="M41" s="626" t="s">
        <v>465</v>
      </c>
      <c r="N41" s="627"/>
      <c r="O41" s="628"/>
    </row>
    <row r="42" spans="1:15" ht="44.25" customHeight="1">
      <c r="B42" s="632" t="s">
        <v>236</v>
      </c>
      <c r="C42" s="633"/>
      <c r="D42" s="634"/>
      <c r="E42" s="635" t="s">
        <v>218</v>
      </c>
      <c r="F42" s="636"/>
      <c r="G42" s="636"/>
      <c r="H42" s="636"/>
      <c r="I42" s="637"/>
      <c r="J42" s="635" t="s">
        <v>219</v>
      </c>
      <c r="K42" s="636"/>
      <c r="L42" s="637"/>
      <c r="M42" s="635" t="s">
        <v>220</v>
      </c>
      <c r="N42" s="636"/>
      <c r="O42" s="637"/>
    </row>
    <row r="43" spans="1:15" ht="33.75" customHeight="1">
      <c r="B43" s="200"/>
      <c r="C43" s="201"/>
      <c r="D43" s="201"/>
      <c r="E43" s="195"/>
      <c r="F43" s="197"/>
      <c r="G43" s="197"/>
      <c r="H43" s="197"/>
      <c r="I43" s="197"/>
      <c r="J43" s="195"/>
      <c r="K43" s="195"/>
      <c r="L43" s="196"/>
      <c r="M43" s="194"/>
      <c r="N43" s="195"/>
      <c r="O43" s="196"/>
    </row>
    <row r="44" spans="1:15" ht="15.75" customHeight="1">
      <c r="B44" s="629" t="s">
        <v>235</v>
      </c>
      <c r="C44" s="630"/>
      <c r="D44" s="630"/>
      <c r="E44" s="630"/>
      <c r="F44" s="630"/>
      <c r="G44" s="630"/>
      <c r="H44" s="630"/>
      <c r="I44" s="630"/>
      <c r="J44" s="630"/>
      <c r="K44" s="630"/>
      <c r="L44" s="631"/>
      <c r="M44" s="614" t="s">
        <v>230</v>
      </c>
      <c r="N44" s="615"/>
      <c r="O44" s="616"/>
    </row>
    <row r="45" spans="1:15">
      <c r="D45" s="182"/>
    </row>
    <row r="47" spans="1:15">
      <c r="D47" s="182"/>
    </row>
    <row r="48" spans="1:15">
      <c r="D48" s="182"/>
    </row>
  </sheetData>
  <mergeCells count="109">
    <mergeCell ref="M32:O32"/>
    <mergeCell ref="J39:L39"/>
    <mergeCell ref="M33:O33"/>
    <mergeCell ref="E33:I33"/>
    <mergeCell ref="B34:D34"/>
    <mergeCell ref="B36:D36"/>
    <mergeCell ref="B37:D37"/>
    <mergeCell ref="E36:I36"/>
    <mergeCell ref="E37:I37"/>
    <mergeCell ref="J36:L36"/>
    <mergeCell ref="J37:L37"/>
    <mergeCell ref="M39:O39"/>
    <mergeCell ref="M34:O34"/>
    <mergeCell ref="B35:D35"/>
    <mergeCell ref="E34:I34"/>
    <mergeCell ref="J34:L34"/>
    <mergeCell ref="J33:L33"/>
    <mergeCell ref="M44:O44"/>
    <mergeCell ref="B30:O30"/>
    <mergeCell ref="B32:D32"/>
    <mergeCell ref="E32:I32"/>
    <mergeCell ref="J32:L32"/>
    <mergeCell ref="B33:D33"/>
    <mergeCell ref="B41:D41"/>
    <mergeCell ref="B40:D40"/>
    <mergeCell ref="E40:I40"/>
    <mergeCell ref="E41:I41"/>
    <mergeCell ref="J41:L41"/>
    <mergeCell ref="J40:L40"/>
    <mergeCell ref="M36:O36"/>
    <mergeCell ref="M37:O37"/>
    <mergeCell ref="B44:L44"/>
    <mergeCell ref="B42:D42"/>
    <mergeCell ref="E42:I42"/>
    <mergeCell ref="J42:L42"/>
    <mergeCell ref="M40:O40"/>
    <mergeCell ref="M41:O41"/>
    <mergeCell ref="M42:O42"/>
    <mergeCell ref="E39:I39"/>
    <mergeCell ref="B38:D38"/>
    <mergeCell ref="B39:D39"/>
    <mergeCell ref="E23:I23"/>
    <mergeCell ref="J22:L22"/>
    <mergeCell ref="B22:D22"/>
    <mergeCell ref="E21:I21"/>
    <mergeCell ref="E25:I25"/>
    <mergeCell ref="J25:L25"/>
    <mergeCell ref="M25:O25"/>
    <mergeCell ref="M22:O22"/>
    <mergeCell ref="B23:D24"/>
    <mergeCell ref="E24:I24"/>
    <mergeCell ref="J23:L24"/>
    <mergeCell ref="E22:I22"/>
    <mergeCell ref="B25:D25"/>
    <mergeCell ref="M23:O24"/>
    <mergeCell ref="E15:I15"/>
    <mergeCell ref="J21:L21"/>
    <mergeCell ref="M21:O21"/>
    <mergeCell ref="B16:O16"/>
    <mergeCell ref="M18:O18"/>
    <mergeCell ref="B21:D21"/>
    <mergeCell ref="J20:L20"/>
    <mergeCell ref="E18:I18"/>
    <mergeCell ref="J18:L18"/>
    <mergeCell ref="J15:L15"/>
    <mergeCell ref="B15:D15"/>
    <mergeCell ref="M15:O15"/>
    <mergeCell ref="B18:D18"/>
    <mergeCell ref="B20:D20"/>
    <mergeCell ref="M19:O19"/>
    <mergeCell ref="E19:I19"/>
    <mergeCell ref="J19:L19"/>
    <mergeCell ref="B19:D19"/>
    <mergeCell ref="M20:O20"/>
    <mergeCell ref="E20:I20"/>
    <mergeCell ref="B2:M2"/>
    <mergeCell ref="B5:O5"/>
    <mergeCell ref="M8:O8"/>
    <mergeCell ref="J8:L8"/>
    <mergeCell ref="E7:I7"/>
    <mergeCell ref="M9:O9"/>
    <mergeCell ref="B7:D7"/>
    <mergeCell ref="B8:D8"/>
    <mergeCell ref="B9:D9"/>
    <mergeCell ref="E9:I9"/>
    <mergeCell ref="E8:I8"/>
    <mergeCell ref="J7:L7"/>
    <mergeCell ref="M7:O7"/>
    <mergeCell ref="J14:L14"/>
    <mergeCell ref="M12:O12"/>
    <mergeCell ref="J9:L9"/>
    <mergeCell ref="M11:O11"/>
    <mergeCell ref="M13:O13"/>
    <mergeCell ref="M10:O10"/>
    <mergeCell ref="E13:I13"/>
    <mergeCell ref="B11:D11"/>
    <mergeCell ref="B10:D10"/>
    <mergeCell ref="E11:I11"/>
    <mergeCell ref="B12:D12"/>
    <mergeCell ref="J10:L10"/>
    <mergeCell ref="J11:L11"/>
    <mergeCell ref="J12:L12"/>
    <mergeCell ref="E12:I12"/>
    <mergeCell ref="E10:I10"/>
    <mergeCell ref="B14:D14"/>
    <mergeCell ref="M14:O14"/>
    <mergeCell ref="B13:D13"/>
    <mergeCell ref="J13:L13"/>
    <mergeCell ref="E14:I14"/>
  </mergeCells>
  <phoneticPr fontId="23" type="noConversion"/>
  <pageMargins left="0.70866141732283472" right="0.70866141732283472" top="0.74803149606299213" bottom="0.74803149606299213" header="0.31496062992125984" footer="0.31496062992125984"/>
  <pageSetup paperSize="9" scale="51" orientation="landscape" r:id="rId1"/>
  <headerFooter alignWithMargins="0">
    <oddFooter>&amp;L&amp;F&amp;C&amp;A&amp;RV1.0          &amp;D</oddFooter>
  </headerFooter>
  <rowBreaks count="2" manualBreakCount="2">
    <brk id="14" max="16383" man="1"/>
    <brk id="25"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pageSetUpPr fitToPage="1"/>
  </sheetPr>
  <dimension ref="A1:AJ150"/>
  <sheetViews>
    <sheetView showGridLines="0" zoomScale="80" zoomScaleNormal="80" zoomScaleSheetLayoutView="75" workbookViewId="0">
      <selection activeCell="N16" sqref="N16"/>
    </sheetView>
  </sheetViews>
  <sheetFormatPr defaultColWidth="11" defaultRowHeight="15"/>
  <cols>
    <col min="1" max="1" width="2.7109375" customWidth="1"/>
    <col min="2" max="2" width="48" customWidth="1"/>
    <col min="3" max="3" width="23" customWidth="1"/>
    <col min="4" max="4" width="19.140625" customWidth="1"/>
    <col min="5" max="5" width="18.7109375" customWidth="1"/>
    <col min="6" max="6" width="17.42578125" customWidth="1"/>
    <col min="7" max="7" width="16.42578125" customWidth="1"/>
    <col min="8" max="8" width="12.5703125" customWidth="1"/>
    <col min="9" max="9" width="11.85546875" customWidth="1"/>
    <col min="10" max="10" width="13.28515625" customWidth="1"/>
    <col min="11" max="11" width="12" customWidth="1"/>
    <col min="12" max="12" width="15.28515625" customWidth="1"/>
    <col min="13" max="13" width="15.42578125" customWidth="1"/>
    <col min="14" max="14" width="14.28515625" style="35" customWidth="1"/>
    <col min="15" max="15" width="15.5703125" style="35"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style="35" customWidth="1"/>
    <col min="35" max="35" width="3.28515625" style="35" customWidth="1"/>
    <col min="36" max="36" width="2.28515625" style="35"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94" t="s">
        <v>282</v>
      </c>
      <c r="C2" s="694"/>
      <c r="D2" s="694"/>
      <c r="E2" s="694"/>
      <c r="F2" s="694"/>
      <c r="G2" s="694"/>
      <c r="H2" s="694"/>
      <c r="I2" s="694"/>
      <c r="J2" s="694"/>
      <c r="K2" s="224"/>
      <c r="L2" s="224"/>
      <c r="M2" s="224"/>
    </row>
    <row r="3" spans="1:13" ht="4.5" customHeight="1">
      <c r="A3" s="3"/>
      <c r="B3" s="3"/>
      <c r="C3" s="3"/>
      <c r="D3" s="3"/>
      <c r="E3" s="3"/>
      <c r="F3" s="3"/>
      <c r="G3" s="3"/>
      <c r="H3" s="3"/>
      <c r="I3" s="3"/>
      <c r="J3" s="3"/>
      <c r="K3" s="3"/>
      <c r="L3" s="3"/>
      <c r="M3" s="3"/>
    </row>
    <row r="4" spans="1:13" ht="34.5" customHeight="1">
      <c r="A4" s="3"/>
      <c r="B4" s="223" t="s">
        <v>283</v>
      </c>
      <c r="C4" s="739" t="s">
        <v>157</v>
      </c>
      <c r="D4" s="740"/>
      <c r="E4" s="721" t="s">
        <v>287</v>
      </c>
      <c r="F4" s="721"/>
      <c r="G4" s="741" t="s">
        <v>309</v>
      </c>
      <c r="H4" s="742"/>
      <c r="I4" s="742"/>
      <c r="J4" s="743"/>
      <c r="K4" s="3"/>
      <c r="L4" s="3"/>
      <c r="M4" s="3"/>
    </row>
    <row r="5" spans="1:13" ht="3" customHeight="1">
      <c r="A5" s="3"/>
      <c r="B5" s="223"/>
      <c r="C5" s="3"/>
      <c r="D5" s="3"/>
      <c r="E5" s="225"/>
      <c r="F5" s="225"/>
      <c r="G5" s="3"/>
      <c r="H5" s="3"/>
      <c r="I5" s="3"/>
      <c r="J5" s="3"/>
      <c r="K5" s="3"/>
      <c r="L5" s="3"/>
      <c r="M5" s="3"/>
    </row>
    <row r="6" spans="1:13">
      <c r="A6" s="3"/>
      <c r="B6" s="223" t="s">
        <v>284</v>
      </c>
      <c r="C6" s="739" t="s">
        <v>468</v>
      </c>
      <c r="D6" s="740"/>
      <c r="E6" s="721" t="s">
        <v>288</v>
      </c>
      <c r="F6" s="721"/>
      <c r="G6" s="246" t="s">
        <v>15</v>
      </c>
      <c r="H6" s="223" t="s">
        <v>289</v>
      </c>
      <c r="I6" s="748">
        <v>7957826</v>
      </c>
      <c r="J6" s="749"/>
      <c r="K6" s="3"/>
      <c r="L6" s="3"/>
      <c r="M6" s="3"/>
    </row>
    <row r="7" spans="1:13" ht="3" customHeight="1">
      <c r="A7" s="3"/>
      <c r="B7" s="223"/>
      <c r="C7" s="3"/>
      <c r="D7" s="3"/>
      <c r="E7" s="225"/>
      <c r="F7" s="225"/>
      <c r="G7" s="3"/>
      <c r="H7" s="223"/>
      <c r="I7" s="3"/>
      <c r="J7" s="3"/>
      <c r="K7" s="3"/>
      <c r="L7" s="3"/>
      <c r="M7" s="3"/>
    </row>
    <row r="8" spans="1:13">
      <c r="A8" s="3"/>
      <c r="B8" s="223" t="s">
        <v>285</v>
      </c>
      <c r="C8" s="739" t="s">
        <v>431</v>
      </c>
      <c r="D8" s="740"/>
      <c r="E8" s="226"/>
      <c r="F8" s="222" t="s">
        <v>290</v>
      </c>
      <c r="G8" s="305" t="s">
        <v>270</v>
      </c>
      <c r="H8" s="222" t="s">
        <v>291</v>
      </c>
      <c r="I8" s="739" t="s">
        <v>469</v>
      </c>
      <c r="J8" s="740"/>
      <c r="K8" s="3"/>
      <c r="L8" s="3"/>
      <c r="M8" s="3"/>
    </row>
    <row r="9" spans="1:13" ht="3" customHeight="1">
      <c r="A9" s="3"/>
      <c r="B9" s="225"/>
      <c r="C9" s="3"/>
      <c r="D9" s="3"/>
      <c r="E9" s="225"/>
      <c r="F9" s="225"/>
      <c r="G9" s="3"/>
      <c r="H9" s="3"/>
      <c r="I9" s="3"/>
      <c r="J9" s="3"/>
      <c r="K9" s="3"/>
      <c r="L9" s="3"/>
      <c r="M9" s="3"/>
    </row>
    <row r="10" spans="1:13">
      <c r="A10" s="3"/>
      <c r="B10" s="223" t="s">
        <v>373</v>
      </c>
      <c r="C10" s="746">
        <v>42186</v>
      </c>
      <c r="D10" s="747"/>
      <c r="E10" s="695" t="s">
        <v>292</v>
      </c>
      <c r="F10" s="692"/>
      <c r="G10" s="739" t="s">
        <v>37</v>
      </c>
      <c r="H10" s="751"/>
      <c r="I10" s="751"/>
      <c r="J10" s="740"/>
      <c r="K10" s="3"/>
      <c r="L10" s="3"/>
      <c r="M10" s="3"/>
    </row>
    <row r="11" spans="1:13" ht="5.25" customHeight="1">
      <c r="A11" s="3"/>
      <c r="B11" s="3"/>
      <c r="C11" s="3"/>
      <c r="D11" s="3"/>
      <c r="E11" s="3"/>
      <c r="F11" s="3"/>
      <c r="G11" s="3"/>
      <c r="H11" s="3"/>
      <c r="I11" s="3"/>
      <c r="J11" s="3"/>
      <c r="K11" s="3"/>
      <c r="L11" s="3"/>
      <c r="M11" s="3"/>
    </row>
    <row r="12" spans="1:13" ht="15" customHeight="1">
      <c r="A12" s="3"/>
      <c r="B12" s="223" t="s">
        <v>286</v>
      </c>
      <c r="C12" s="752" t="s">
        <v>25</v>
      </c>
      <c r="D12" s="752"/>
      <c r="E12" s="695" t="s">
        <v>233</v>
      </c>
      <c r="F12" s="721"/>
      <c r="G12" s="750" t="s">
        <v>432</v>
      </c>
      <c r="H12" s="750"/>
      <c r="I12" s="750"/>
      <c r="J12" s="750"/>
      <c r="K12" s="3"/>
      <c r="L12" s="3"/>
      <c r="M12" s="3"/>
    </row>
    <row r="13" spans="1:13" ht="5.25" customHeight="1">
      <c r="A13" s="3"/>
      <c r="B13" s="3"/>
      <c r="C13" s="3"/>
      <c r="D13" s="3"/>
      <c r="E13" s="3"/>
      <c r="F13" s="3"/>
      <c r="G13" s="3"/>
      <c r="H13" s="3"/>
      <c r="I13" s="3"/>
      <c r="J13" s="3"/>
      <c r="K13" s="3"/>
      <c r="L13" s="3"/>
      <c r="M13" s="3"/>
    </row>
    <row r="14" spans="1:13" ht="15.75" customHeight="1">
      <c r="A14" s="3"/>
      <c r="B14" s="694" t="s">
        <v>293</v>
      </c>
      <c r="C14" s="694"/>
      <c r="D14" s="694"/>
      <c r="E14" s="694"/>
      <c r="F14" s="694"/>
      <c r="G14" s="694"/>
      <c r="H14" s="694"/>
      <c r="I14" s="694"/>
      <c r="J14" s="694"/>
      <c r="K14" s="3"/>
      <c r="L14" s="3"/>
      <c r="M14" s="3"/>
    </row>
    <row r="15" spans="1:13" ht="12" customHeight="1">
      <c r="A15" s="3"/>
      <c r="B15" s="3"/>
      <c r="C15" s="3"/>
      <c r="D15" s="3"/>
      <c r="E15" s="3"/>
      <c r="F15" s="3"/>
      <c r="G15" s="3"/>
      <c r="H15" s="3"/>
      <c r="I15" s="3"/>
      <c r="J15" s="3"/>
      <c r="K15" s="3"/>
      <c r="L15" s="3"/>
      <c r="M15" s="3"/>
    </row>
    <row r="16" spans="1:13" s="35" customFormat="1" ht="30" customHeight="1">
      <c r="A16" s="358"/>
      <c r="B16" s="359" t="s">
        <v>294</v>
      </c>
      <c r="C16" s="426" t="s">
        <v>72</v>
      </c>
      <c r="D16" s="427" t="s">
        <v>295</v>
      </c>
      <c r="E16" s="428">
        <v>42917</v>
      </c>
      <c r="F16" s="429" t="s">
        <v>296</v>
      </c>
      <c r="G16" s="428">
        <v>43100</v>
      </c>
      <c r="H16" s="744" t="s">
        <v>417</v>
      </c>
      <c r="I16" s="745"/>
      <c r="J16" s="428">
        <v>43238</v>
      </c>
      <c r="K16" s="358"/>
      <c r="L16" s="358"/>
      <c r="M16" s="358"/>
    </row>
    <row r="17" spans="1:35" ht="3" customHeight="1">
      <c r="A17" s="3"/>
      <c r="B17" s="3"/>
      <c r="C17" s="3"/>
      <c r="D17" s="3"/>
      <c r="E17" s="3"/>
      <c r="F17" s="3"/>
      <c r="G17" s="3"/>
      <c r="H17" s="3"/>
      <c r="I17" s="3"/>
      <c r="J17" s="3"/>
      <c r="K17" s="3"/>
      <c r="L17" s="3"/>
      <c r="M17" s="3"/>
    </row>
    <row r="18" spans="1:35">
      <c r="A18" s="3"/>
      <c r="B18" s="691" t="s">
        <v>376</v>
      </c>
      <c r="C18" s="692"/>
      <c r="D18" s="693" t="s">
        <v>431</v>
      </c>
      <c r="E18" s="693"/>
      <c r="F18" s="693"/>
      <c r="G18" s="227"/>
      <c r="H18" s="227"/>
      <c r="I18" s="227"/>
      <c r="J18" s="227"/>
      <c r="K18" s="3"/>
      <c r="L18" s="3"/>
      <c r="M18" s="3"/>
    </row>
    <row r="19" spans="1:35" ht="30" customHeight="1">
      <c r="A19" s="3"/>
      <c r="B19" s="3"/>
      <c r="C19" s="3"/>
      <c r="D19" s="3"/>
      <c r="E19" s="3"/>
      <c r="F19" s="3"/>
      <c r="G19" s="3"/>
      <c r="H19" s="3"/>
      <c r="I19" s="3"/>
      <c r="J19" s="3"/>
      <c r="K19" s="3"/>
      <c r="L19" s="3"/>
      <c r="M19" s="3"/>
    </row>
    <row r="20" spans="1:35" ht="21" customHeight="1">
      <c r="A20" s="3"/>
      <c r="B20" s="3"/>
      <c r="C20" s="3"/>
      <c r="D20" s="3"/>
      <c r="E20" s="3"/>
      <c r="F20" s="3"/>
      <c r="G20" s="3"/>
      <c r="H20" s="3"/>
      <c r="I20" s="3"/>
      <c r="J20" s="3"/>
      <c r="K20" s="3"/>
      <c r="L20" s="3"/>
      <c r="M20" s="3"/>
    </row>
    <row r="21" spans="1:35" ht="15.75" customHeight="1">
      <c r="A21" s="3"/>
      <c r="B21" s="694" t="s">
        <v>297</v>
      </c>
      <c r="C21" s="694"/>
      <c r="D21" s="694"/>
      <c r="E21" s="694"/>
      <c r="F21" s="694"/>
      <c r="G21" s="694"/>
      <c r="H21" s="694"/>
      <c r="I21" s="694"/>
      <c r="J21" s="694"/>
      <c r="K21" s="3"/>
      <c r="L21" s="3"/>
      <c r="M21" s="3"/>
    </row>
    <row r="22" spans="1:35">
      <c r="A22" s="3"/>
      <c r="B22" s="225" t="s">
        <v>419</v>
      </c>
      <c r="C22" s="3"/>
      <c r="D22" s="3"/>
      <c r="E22" s="228"/>
      <c r="F22" s="228"/>
      <c r="G22" s="3"/>
      <c r="H22" s="3"/>
      <c r="I22" s="228"/>
      <c r="J22" s="228"/>
      <c r="K22" s="3"/>
      <c r="L22" s="3"/>
      <c r="M22" s="3"/>
    </row>
    <row r="23" spans="1:35" ht="3" customHeight="1">
      <c r="A23" s="3"/>
      <c r="B23" s="3"/>
      <c r="C23" s="3"/>
      <c r="D23" s="3"/>
      <c r="E23" s="3"/>
      <c r="F23" s="3"/>
      <c r="G23" s="3"/>
      <c r="H23" s="3"/>
      <c r="I23" s="3"/>
      <c r="J23" s="3"/>
      <c r="K23" s="3"/>
      <c r="L23" s="3"/>
      <c r="M23" s="3"/>
    </row>
    <row r="24" spans="1:35" ht="15.75" thickBot="1">
      <c r="A24" s="3"/>
      <c r="B24" s="223" t="s">
        <v>298</v>
      </c>
      <c r="C24" s="298"/>
      <c r="D24" s="721" t="s">
        <v>299</v>
      </c>
      <c r="E24" s="721"/>
      <c r="F24" s="299"/>
      <c r="G24" s="721" t="s">
        <v>300</v>
      </c>
      <c r="H24" s="721"/>
      <c r="I24" s="728"/>
      <c r="J24" s="729"/>
      <c r="K24" s="3"/>
      <c r="L24" s="3"/>
      <c r="M24" s="3"/>
      <c r="N24" s="20"/>
    </row>
    <row r="25" spans="1:35" ht="26.25" customHeight="1" thickBot="1">
      <c r="A25" s="3"/>
      <c r="B25" s="86" t="s">
        <v>298</v>
      </c>
      <c r="C25" s="87"/>
      <c r="D25" s="87"/>
      <c r="E25" s="87"/>
      <c r="F25" s="87"/>
      <c r="G25" s="87"/>
      <c r="H25" s="213"/>
      <c r="I25" s="88"/>
      <c r="J25" s="88"/>
      <c r="K25" s="213" t="s">
        <v>418</v>
      </c>
      <c r="L25" s="87"/>
      <c r="M25" s="87"/>
      <c r="N25" s="313"/>
      <c r="O25" s="39"/>
      <c r="AI25" s="43"/>
    </row>
    <row r="26" spans="1:35">
      <c r="A26" s="3"/>
      <c r="B26" s="719" t="s">
        <v>301</v>
      </c>
      <c r="C26" s="720"/>
      <c r="D26" s="355" t="s">
        <v>2</v>
      </c>
      <c r="E26" s="90"/>
      <c r="F26" s="90"/>
      <c r="G26" s="90"/>
      <c r="H26" s="90"/>
      <c r="I26" s="90"/>
      <c r="J26" s="91"/>
      <c r="K26" s="90"/>
      <c r="L26" s="90"/>
      <c r="M26" s="90"/>
      <c r="N26" s="39"/>
      <c r="O26" s="39"/>
      <c r="AI26" s="43"/>
    </row>
    <row r="27" spans="1:35" ht="18.75">
      <c r="A27" s="3"/>
      <c r="B27" s="89" t="s">
        <v>302</v>
      </c>
      <c r="C27" s="90"/>
      <c r="D27" s="90"/>
      <c r="E27" s="90"/>
      <c r="F27" s="90"/>
      <c r="G27" s="90"/>
      <c r="H27" s="90"/>
      <c r="I27" s="90"/>
      <c r="J27" s="91"/>
      <c r="K27" s="90"/>
      <c r="L27" s="90"/>
      <c r="M27" s="90"/>
      <c r="N27" s="39"/>
      <c r="O27" s="39"/>
      <c r="AI27" s="43"/>
    </row>
    <row r="28" spans="1:35" ht="15.75" thickBot="1">
      <c r="A28" s="3"/>
      <c r="B28" s="3"/>
      <c r="C28" s="3"/>
      <c r="D28" s="3"/>
      <c r="E28" s="3"/>
      <c r="F28" s="3"/>
      <c r="G28" s="3"/>
      <c r="H28" s="3"/>
      <c r="I28" s="3"/>
      <c r="J28" s="3"/>
      <c r="K28" s="3"/>
      <c r="L28" s="3"/>
      <c r="M28" s="3"/>
      <c r="P28" s="35"/>
      <c r="Q28" s="35"/>
    </row>
    <row r="29" spans="1:35" ht="15.75" thickBot="1">
      <c r="A29" s="3"/>
      <c r="B29" s="722" t="s">
        <v>306</v>
      </c>
      <c r="C29" s="723"/>
      <c r="D29" s="723"/>
      <c r="E29" s="723"/>
      <c r="F29" s="723"/>
      <c r="G29" s="723"/>
      <c r="H29" s="723"/>
      <c r="I29" s="723"/>
      <c r="J29" s="723"/>
      <c r="K29" s="723"/>
      <c r="L29" s="723"/>
      <c r="M29" s="723"/>
      <c r="N29" s="724"/>
      <c r="P29" s="490"/>
      <c r="Q29" s="414"/>
      <c r="R29" s="170">
        <f>+C33</f>
        <v>1725097.19</v>
      </c>
      <c r="S29" s="168"/>
    </row>
    <row r="30" spans="1:35">
      <c r="A30" s="3"/>
      <c r="B30" s="92" t="s">
        <v>303</v>
      </c>
      <c r="C30" s="285" t="s">
        <v>62</v>
      </c>
      <c r="D30" s="285" t="s">
        <v>63</v>
      </c>
      <c r="E30" s="285" t="s">
        <v>64</v>
      </c>
      <c r="F30" s="285" t="s">
        <v>65</v>
      </c>
      <c r="G30" s="285" t="s">
        <v>72</v>
      </c>
      <c r="H30" s="285" t="s">
        <v>73</v>
      </c>
      <c r="I30" s="285" t="s">
        <v>74</v>
      </c>
      <c r="J30" s="285" t="s">
        <v>75</v>
      </c>
      <c r="K30" s="285" t="s">
        <v>76</v>
      </c>
      <c r="L30" s="285" t="s">
        <v>77</v>
      </c>
      <c r="M30" s="285" t="s">
        <v>78</v>
      </c>
      <c r="N30" s="286" t="s">
        <v>232</v>
      </c>
      <c r="O30" s="491" t="s">
        <v>310</v>
      </c>
      <c r="P30" s="490"/>
      <c r="Q30" s="414"/>
      <c r="R30" s="170">
        <f>+D33</f>
        <v>703324.68</v>
      </c>
      <c r="S30" s="168"/>
    </row>
    <row r="31" spans="1:35">
      <c r="A31" s="3"/>
      <c r="B31" s="220" t="str">
        <f>CONCATENATE("Buget (in ",'Introducerea datelor'!$D$26,")")</f>
        <v>Buget (in €)</v>
      </c>
      <c r="C31" s="430">
        <v>1725097.19</v>
      </c>
      <c r="D31" s="430">
        <v>703324.68</v>
      </c>
      <c r="E31" s="292">
        <v>1308125.3500000001</v>
      </c>
      <c r="F31" s="385">
        <v>1031532.02</v>
      </c>
      <c r="G31" s="292">
        <v>3189747.84</v>
      </c>
      <c r="H31" s="385"/>
      <c r="I31" s="385"/>
      <c r="J31" s="292"/>
      <c r="K31" s="292"/>
      <c r="L31" s="292"/>
      <c r="M31" s="292"/>
      <c r="N31" s="292"/>
      <c r="O31" s="675">
        <f>G34/I6</f>
        <v>0.9952219990736163</v>
      </c>
      <c r="P31" s="492"/>
      <c r="Q31" s="414"/>
      <c r="R31" s="170">
        <f>+E33</f>
        <v>1308125.3500000001</v>
      </c>
      <c r="S31" s="168"/>
    </row>
    <row r="32" spans="1:35">
      <c r="A32" s="3"/>
      <c r="B32" s="92" t="str">
        <f>CONCATENATE("Debursări de către FG (in ", $D$26,")")</f>
        <v>Debursări de către FG (in €)</v>
      </c>
      <c r="C32" s="430">
        <v>2488378</v>
      </c>
      <c r="D32" s="430">
        <f>1330131+44595</f>
        <v>1374726</v>
      </c>
      <c r="E32" s="502">
        <v>580595</v>
      </c>
      <c r="F32" s="503">
        <v>897114</v>
      </c>
      <c r="G32" s="293">
        <v>2578990.5</v>
      </c>
      <c r="H32" s="386"/>
      <c r="I32" s="385"/>
      <c r="J32" s="292"/>
      <c r="K32" s="292"/>
      <c r="L32" s="292"/>
      <c r="M32" s="292"/>
      <c r="N32" s="292"/>
      <c r="O32" s="676"/>
      <c r="P32" s="490"/>
      <c r="Q32" s="414"/>
      <c r="R32" s="170">
        <f>+F33</f>
        <v>1031532.02</v>
      </c>
      <c r="S32" s="168"/>
    </row>
    <row r="33" spans="1:35">
      <c r="A33" s="3"/>
      <c r="B33" s="93" t="s">
        <v>304</v>
      </c>
      <c r="C33" s="499">
        <v>1725097.19</v>
      </c>
      <c r="D33" s="499">
        <v>703324.68</v>
      </c>
      <c r="E33" s="500">
        <v>1308125.3500000001</v>
      </c>
      <c r="F33" s="501">
        <v>1031532.02</v>
      </c>
      <c r="G33" s="387">
        <v>3189747.84</v>
      </c>
      <c r="H33" s="387">
        <f t="shared" ref="H33:N33" si="0">IF(AND(H31=0,H32=0),0,+G33+H31)</f>
        <v>0</v>
      </c>
      <c r="I33" s="387">
        <f t="shared" si="0"/>
        <v>0</v>
      </c>
      <c r="J33" s="294">
        <f t="shared" si="0"/>
        <v>0</v>
      </c>
      <c r="K33" s="294">
        <f t="shared" si="0"/>
        <v>0</v>
      </c>
      <c r="L33" s="294">
        <f t="shared" si="0"/>
        <v>0</v>
      </c>
      <c r="M33" s="294">
        <f t="shared" si="0"/>
        <v>0</v>
      </c>
      <c r="N33" s="294">
        <f t="shared" si="0"/>
        <v>0</v>
      </c>
      <c r="O33" s="676"/>
      <c r="P33" s="493"/>
      <c r="Q33" s="414"/>
      <c r="R33" s="170">
        <f>+G33</f>
        <v>3189747.84</v>
      </c>
      <c r="S33" s="168"/>
    </row>
    <row r="34" spans="1:35" ht="15.75" thickBot="1">
      <c r="A34" s="3"/>
      <c r="B34" s="94" t="s">
        <v>305</v>
      </c>
      <c r="C34" s="431">
        <v>2488378</v>
      </c>
      <c r="D34" s="431">
        <f>IF(AND(D31=0,D32=0),0,+C34+D32)</f>
        <v>3863104</v>
      </c>
      <c r="E34" s="295">
        <f t="shared" ref="E34:N34" si="1">IF(AND(E31=0,E32=0),0,+D34+E32)</f>
        <v>4443699</v>
      </c>
      <c r="F34" s="388">
        <f t="shared" si="1"/>
        <v>5340813</v>
      </c>
      <c r="G34" s="295">
        <f>IF(AND(G31=0,G32=0),0,+F34+G32)</f>
        <v>7919803.5</v>
      </c>
      <c r="H34" s="388">
        <f t="shared" si="1"/>
        <v>0</v>
      </c>
      <c r="I34" s="388">
        <f t="shared" si="1"/>
        <v>0</v>
      </c>
      <c r="J34" s="295">
        <f t="shared" si="1"/>
        <v>0</v>
      </c>
      <c r="K34" s="295">
        <f t="shared" si="1"/>
        <v>0</v>
      </c>
      <c r="L34" s="295">
        <f t="shared" si="1"/>
        <v>0</v>
      </c>
      <c r="M34" s="295">
        <f t="shared" si="1"/>
        <v>0</v>
      </c>
      <c r="N34" s="295">
        <f t="shared" si="1"/>
        <v>0</v>
      </c>
      <c r="O34" s="677"/>
      <c r="P34" s="493"/>
      <c r="Q34" s="414"/>
      <c r="R34" s="170">
        <f>+H33</f>
        <v>0</v>
      </c>
      <c r="S34" s="168"/>
    </row>
    <row r="35" spans="1:35">
      <c r="A35" s="3"/>
      <c r="B35" s="3"/>
      <c r="C35" s="269">
        <f>+IF(AND(C30=$C$16,C33&lt;&gt;0),C34/C33,0)</f>
        <v>0</v>
      </c>
      <c r="D35" s="269">
        <f t="shared" ref="D35:N35" si="2">+IF(AND(D30=$C$16,D33&lt;&gt;0),D34/D33,0)</f>
        <v>0</v>
      </c>
      <c r="E35" s="269">
        <f t="shared" si="2"/>
        <v>0</v>
      </c>
      <c r="F35" s="269">
        <f>+IF(AND(F30=$C$16,F33&lt;&gt;0),F34/F33,0)</f>
        <v>0</v>
      </c>
      <c r="G35" s="269">
        <f t="shared" si="2"/>
        <v>2.4828932872637357</v>
      </c>
      <c r="H35" s="269">
        <f t="shared" si="2"/>
        <v>0</v>
      </c>
      <c r="I35" s="269">
        <f t="shared" si="2"/>
        <v>0</v>
      </c>
      <c r="J35" s="269">
        <f t="shared" si="2"/>
        <v>0</v>
      </c>
      <c r="K35" s="269">
        <f t="shared" si="2"/>
        <v>0</v>
      </c>
      <c r="L35" s="269">
        <f t="shared" si="2"/>
        <v>0</v>
      </c>
      <c r="M35" s="269">
        <f t="shared" si="2"/>
        <v>0</v>
      </c>
      <c r="N35" s="269">
        <f t="shared" si="2"/>
        <v>0</v>
      </c>
      <c r="O35" s="494"/>
      <c r="P35" s="474"/>
      <c r="Q35" s="415"/>
      <c r="R35" s="170">
        <f>+I33</f>
        <v>0</v>
      </c>
      <c r="S35" s="168"/>
    </row>
    <row r="36" spans="1:35" ht="18.75">
      <c r="A36" s="3"/>
      <c r="B36" s="89" t="s">
        <v>307</v>
      </c>
      <c r="C36" s="3"/>
      <c r="D36" s="3"/>
      <c r="E36" s="278"/>
      <c r="F36" s="3"/>
      <c r="G36" s="210"/>
      <c r="H36" s="3"/>
      <c r="I36" s="3"/>
      <c r="J36" s="3"/>
      <c r="K36" s="3"/>
      <c r="L36" s="3"/>
      <c r="M36" s="3"/>
      <c r="N36" s="40"/>
      <c r="O36" s="40"/>
      <c r="P36" s="35"/>
      <c r="Q36" s="35"/>
      <c r="AI36" s="20"/>
    </row>
    <row r="37" spans="1:35" ht="15.75" thickBot="1">
      <c r="A37" s="3"/>
      <c r="B37" s="3"/>
      <c r="C37" s="3"/>
      <c r="D37" s="3"/>
      <c r="E37" s="3"/>
      <c r="F37" s="3"/>
      <c r="G37" s="3"/>
      <c r="H37" s="3"/>
      <c r="I37" s="3"/>
      <c r="J37" s="3"/>
      <c r="K37" s="3"/>
      <c r="L37" s="3"/>
      <c r="M37" s="3"/>
      <c r="N37" s="38"/>
      <c r="O37" s="38"/>
      <c r="P37" s="35"/>
      <c r="Q37" s="35"/>
    </row>
    <row r="38" spans="1:35" ht="30" customHeight="1">
      <c r="A38" s="3"/>
      <c r="B38" s="300" t="s">
        <v>308</v>
      </c>
      <c r="C38" s="301" t="str">
        <f>CONCATENATE("Bugetul Cumulativ (în ",'Introducerea datelor'!$D$26,")")</f>
        <v>Bugetul Cumulativ (în €)</v>
      </c>
      <c r="D38" s="302" t="str">
        <f>CONCATENATE("Cheltuielile Cumulative (în ",'Introducerea datelor'!$D$26,")")</f>
        <v>Cheltuielile Cumulative (în €)</v>
      </c>
      <c r="E38" s="495" t="s">
        <v>492</v>
      </c>
      <c r="F38" s="230" t="s">
        <v>493</v>
      </c>
      <c r="G38" s="3"/>
      <c r="H38" s="3"/>
      <c r="I38" s="3"/>
      <c r="J38" s="99"/>
      <c r="K38" s="41"/>
      <c r="N38"/>
      <c r="O38"/>
      <c r="Q38" s="35"/>
      <c r="AE38" s="20"/>
      <c r="AF38" s="35"/>
    </row>
    <row r="39" spans="1:35" ht="46.5" customHeight="1">
      <c r="A39" s="3"/>
      <c r="B39" s="345" t="s">
        <v>434</v>
      </c>
      <c r="C39" s="544">
        <v>2935429.52</v>
      </c>
      <c r="D39" s="545">
        <v>2750565.91</v>
      </c>
      <c r="E39" s="547">
        <f>C39-D39</f>
        <v>184863.60999999987</v>
      </c>
      <c r="F39" s="512">
        <f>D39/C39</f>
        <v>0.93702331848185549</v>
      </c>
      <c r="G39" s="284"/>
      <c r="H39" s="3"/>
      <c r="I39" s="3"/>
      <c r="J39" s="100"/>
      <c r="K39" s="42"/>
      <c r="N39"/>
      <c r="O39"/>
      <c r="Q39" s="35"/>
      <c r="AE39" s="20"/>
      <c r="AF39" s="35"/>
    </row>
    <row r="40" spans="1:35" ht="49.5" customHeight="1">
      <c r="A40" s="3"/>
      <c r="B40" s="345" t="s">
        <v>437</v>
      </c>
      <c r="C40" s="544">
        <v>4305986.92</v>
      </c>
      <c r="D40" s="545">
        <v>4026737.65</v>
      </c>
      <c r="E40" s="547">
        <f t="shared" ref="E40:E46" si="3">C40-D40</f>
        <v>279249.27</v>
      </c>
      <c r="F40" s="512">
        <f>D40/C40</f>
        <v>0.93514860235571728</v>
      </c>
      <c r="G40" s="284"/>
      <c r="H40" s="3"/>
      <c r="I40" s="3"/>
      <c r="J40" s="3"/>
      <c r="K40" s="42"/>
      <c r="N40"/>
      <c r="O40"/>
      <c r="Q40" s="35"/>
      <c r="AE40" s="20"/>
      <c r="AF40" s="35"/>
    </row>
    <row r="41" spans="1:35" ht="48" customHeight="1">
      <c r="A41" s="3"/>
      <c r="B41" s="345" t="s">
        <v>435</v>
      </c>
      <c r="C41" s="546">
        <v>275154.03999999998</v>
      </c>
      <c r="D41" s="545">
        <v>229937.58</v>
      </c>
      <c r="E41" s="547">
        <f t="shared" si="3"/>
        <v>45216.459999999992</v>
      </c>
      <c r="F41" s="512">
        <f>D41/C41</f>
        <v>0.83566855860084777</v>
      </c>
      <c r="G41" s="3"/>
      <c r="H41" s="3"/>
      <c r="I41" s="3"/>
      <c r="J41" s="3"/>
      <c r="K41" s="42"/>
      <c r="N41"/>
      <c r="O41"/>
      <c r="Q41" s="35"/>
      <c r="AE41" s="20"/>
      <c r="AF41" s="35"/>
    </row>
    <row r="42" spans="1:35" ht="24.75" customHeight="1">
      <c r="A42" s="3"/>
      <c r="B42" s="346" t="s">
        <v>436</v>
      </c>
      <c r="C42" s="546">
        <v>441256.6</v>
      </c>
      <c r="D42" s="545">
        <v>447509.94</v>
      </c>
      <c r="E42" s="547">
        <f t="shared" si="3"/>
        <v>-6253.3400000000256</v>
      </c>
      <c r="F42" s="512">
        <f>D42/C42</f>
        <v>1.0141716633813522</v>
      </c>
      <c r="J42" s="3"/>
      <c r="K42" s="20"/>
      <c r="N42"/>
      <c r="O42"/>
      <c r="Q42" s="35"/>
      <c r="AE42" s="20"/>
      <c r="AF42" s="35"/>
    </row>
    <row r="43" spans="1:35" ht="26.25" customHeight="1">
      <c r="A43" s="3"/>
      <c r="B43" s="346" t="s">
        <v>489</v>
      </c>
      <c r="C43" s="546"/>
      <c r="D43" s="545"/>
      <c r="E43" s="547"/>
      <c r="F43" s="512"/>
      <c r="J43" s="3"/>
      <c r="K43" s="20"/>
      <c r="N43"/>
      <c r="O43"/>
      <c r="Q43" s="35"/>
      <c r="AE43" s="20"/>
      <c r="AF43" s="35"/>
    </row>
    <row r="44" spans="1:35">
      <c r="A44" s="3"/>
      <c r="B44" s="346" t="s">
        <v>422</v>
      </c>
      <c r="C44" s="546"/>
      <c r="D44" s="545">
        <v>27385.35</v>
      </c>
      <c r="E44" s="547">
        <f t="shared" si="3"/>
        <v>-27385.35</v>
      </c>
      <c r="F44" s="512"/>
      <c r="J44" s="15"/>
      <c r="K44" s="20"/>
      <c r="N44"/>
      <c r="O44"/>
      <c r="Q44" s="35"/>
      <c r="AE44" s="35"/>
      <c r="AF44" s="35"/>
    </row>
    <row r="45" spans="1:35">
      <c r="A45" s="3"/>
      <c r="B45" s="303"/>
      <c r="C45" s="389"/>
      <c r="D45" s="390"/>
      <c r="E45" s="547"/>
      <c r="F45" s="512"/>
      <c r="J45" s="15"/>
      <c r="K45" s="20"/>
      <c r="N45"/>
      <c r="O45"/>
      <c r="Q45" s="35"/>
      <c r="AE45" s="35"/>
      <c r="AF45" s="35"/>
    </row>
    <row r="46" spans="1:35" ht="15.75" thickBot="1">
      <c r="A46" s="3"/>
      <c r="B46" s="304" t="s">
        <v>39</v>
      </c>
      <c r="C46" s="487">
        <f>SUM(C39:C45)</f>
        <v>7957827.0799999991</v>
      </c>
      <c r="D46" s="504">
        <f>SUM(D39:D45)</f>
        <v>7482136.4300000006</v>
      </c>
      <c r="E46" s="547">
        <f t="shared" si="3"/>
        <v>475690.64999999851</v>
      </c>
      <c r="F46" s="512">
        <f>D46/C46</f>
        <v>0.94022355032122684</v>
      </c>
      <c r="N46" s="172"/>
      <c r="O46" s="170"/>
      <c r="P46" s="168"/>
      <c r="Q46" s="35"/>
      <c r="AE46" s="35"/>
      <c r="AF46" s="35"/>
    </row>
    <row r="47" spans="1:35">
      <c r="A47" s="3"/>
      <c r="B47" s="3"/>
      <c r="C47" s="163"/>
      <c r="D47" s="163"/>
      <c r="E47" s="216"/>
      <c r="F47" s="163"/>
      <c r="G47" s="163"/>
      <c r="H47" s="163"/>
      <c r="I47" s="163"/>
      <c r="J47" s="163"/>
      <c r="K47" s="163"/>
      <c r="L47" s="163"/>
      <c r="M47" s="163"/>
      <c r="N47" s="163"/>
      <c r="O47" s="163"/>
      <c r="P47" s="171"/>
      <c r="Q47" s="415"/>
      <c r="R47" s="170"/>
      <c r="S47" s="168"/>
    </row>
    <row r="48" spans="1:35" ht="18.75">
      <c r="A48" s="3"/>
      <c r="B48" s="89" t="s">
        <v>311</v>
      </c>
      <c r="C48" s="3"/>
      <c r="D48" s="3"/>
      <c r="E48" s="3"/>
      <c r="F48" s="3"/>
      <c r="G48" s="3"/>
      <c r="H48" s="3"/>
      <c r="I48" s="3"/>
      <c r="J48" s="3"/>
      <c r="K48" s="3"/>
      <c r="L48" s="3"/>
      <c r="M48" s="3"/>
      <c r="P48" s="168"/>
      <c r="Q48" s="414"/>
      <c r="R48" s="170">
        <f>+J33</f>
        <v>0</v>
      </c>
      <c r="S48" s="168"/>
    </row>
    <row r="49" spans="1:35" ht="15.75" thickBot="1">
      <c r="A49" s="3"/>
      <c r="B49" s="3"/>
      <c r="C49" s="3"/>
      <c r="D49" s="3"/>
      <c r="E49" s="3"/>
      <c r="F49" s="3"/>
      <c r="G49" s="3"/>
      <c r="H49" s="3"/>
      <c r="I49" s="3"/>
      <c r="J49" s="3"/>
      <c r="K49" s="3"/>
      <c r="L49" s="3"/>
      <c r="M49" s="3"/>
      <c r="P49" s="168"/>
      <c r="Q49" s="169"/>
      <c r="R49" s="170">
        <f>+K33</f>
        <v>0</v>
      </c>
      <c r="S49" s="168"/>
    </row>
    <row r="50" spans="1:35" ht="35.25" customHeight="1">
      <c r="A50" s="3"/>
      <c r="B50" s="233"/>
      <c r="C50" s="234" t="s">
        <v>316</v>
      </c>
      <c r="D50" s="234" t="s">
        <v>317</v>
      </c>
      <c r="E50" s="319" t="str">
        <f>CONCATENATE("Total Cheltuit și debursat (în ",D26,")")</f>
        <v>Total Cheltuit și debursat (în €)</v>
      </c>
      <c r="F50" s="358"/>
      <c r="G50" s="416"/>
      <c r="H50" s="230"/>
      <c r="I50" s="221"/>
      <c r="J50" s="221"/>
      <c r="K50" s="221"/>
      <c r="L50" s="221"/>
      <c r="M50" s="21"/>
      <c r="N50" s="21"/>
      <c r="O50" s="168"/>
      <c r="P50" s="169"/>
      <c r="Q50" s="170">
        <f>+M33</f>
        <v>0</v>
      </c>
      <c r="R50" s="168"/>
      <c r="AH50" s="20"/>
    </row>
    <row r="51" spans="1:35">
      <c r="A51" s="3"/>
      <c r="B51" s="231" t="s">
        <v>312</v>
      </c>
      <c r="C51" s="392">
        <v>5340813</v>
      </c>
      <c r="D51" s="392">
        <v>2578990.5</v>
      </c>
      <c r="E51" s="488">
        <f>+D51+C51</f>
        <v>7919803.5</v>
      </c>
      <c r="F51" s="358"/>
      <c r="G51" s="417"/>
      <c r="H51" s="235"/>
      <c r="I51" s="95"/>
      <c r="J51" s="165"/>
      <c r="K51" s="166"/>
      <c r="L51" s="96"/>
      <c r="M51" s="36"/>
      <c r="N51" s="36"/>
      <c r="O51" s="168"/>
      <c r="P51" s="168"/>
      <c r="Q51" s="168"/>
      <c r="R51" s="168"/>
      <c r="AH51" s="20"/>
    </row>
    <row r="52" spans="1:35">
      <c r="A52" s="3"/>
      <c r="B52" s="231" t="s">
        <v>313</v>
      </c>
      <c r="C52" s="391">
        <v>4723303.0199999996</v>
      </c>
      <c r="D52" s="505">
        <v>2758833.41</v>
      </c>
      <c r="E52" s="488">
        <f>+D52+C52</f>
        <v>7482136.4299999997</v>
      </c>
      <c r="F52" s="358"/>
      <c r="G52" s="418"/>
      <c r="H52" s="235"/>
      <c r="I52" s="95"/>
      <c r="J52" s="165"/>
      <c r="K52" s="165"/>
      <c r="L52" s="96"/>
      <c r="M52" s="37"/>
      <c r="N52" s="37"/>
      <c r="O52" s="168"/>
      <c r="P52" s="168"/>
      <c r="Q52" s="168"/>
      <c r="R52" s="168"/>
      <c r="AH52" s="20"/>
    </row>
    <row r="53" spans="1:35">
      <c r="A53" s="3"/>
      <c r="B53" s="231" t="s">
        <v>314</v>
      </c>
      <c r="C53" s="391">
        <v>121020.79</v>
      </c>
      <c r="D53" s="391">
        <v>27636.720000000001</v>
      </c>
      <c r="E53" s="488">
        <f>+D53+C53</f>
        <v>148657.51</v>
      </c>
      <c r="F53" s="358"/>
      <c r="G53" s="417"/>
      <c r="H53" s="235"/>
      <c r="I53" s="95"/>
      <c r="J53" s="165"/>
      <c r="K53" s="166"/>
      <c r="L53" s="96"/>
      <c r="M53" s="36"/>
      <c r="N53" s="36"/>
      <c r="O53"/>
      <c r="AH53" s="20"/>
    </row>
    <row r="54" spans="1:35" ht="15.75" thickBot="1">
      <c r="A54" s="3"/>
      <c r="B54" s="232" t="s">
        <v>315</v>
      </c>
      <c r="C54" s="393">
        <v>103779.32</v>
      </c>
      <c r="D54" s="393">
        <v>36960.769999999997</v>
      </c>
      <c r="E54" s="489">
        <f>+D54+C54</f>
        <v>140740.09</v>
      </c>
      <c r="F54" s="358"/>
      <c r="G54" s="419"/>
      <c r="H54" s="236"/>
      <c r="I54" s="97"/>
      <c r="J54" s="97"/>
      <c r="K54" s="97"/>
      <c r="L54" s="96"/>
      <c r="M54" s="37"/>
      <c r="N54" s="37"/>
      <c r="O54"/>
      <c r="AH54" s="20"/>
    </row>
    <row r="55" spans="1:35" ht="15.75" customHeight="1">
      <c r="A55" s="3"/>
      <c r="B55" s="3"/>
      <c r="C55" s="3"/>
      <c r="D55" s="3"/>
      <c r="E55" s="511"/>
      <c r="F55" s="15"/>
      <c r="G55" s="3"/>
      <c r="H55" s="3"/>
      <c r="I55" s="3"/>
      <c r="J55" s="3"/>
      <c r="K55" s="3"/>
      <c r="L55" s="3"/>
      <c r="M55" s="3"/>
      <c r="AI55" s="20"/>
    </row>
    <row r="56" spans="1:35">
      <c r="A56" s="3"/>
      <c r="B56" s="3"/>
      <c r="C56" s="3"/>
      <c r="D56" s="219"/>
      <c r="E56" s="3"/>
      <c r="F56" s="3"/>
      <c r="G56" s="3"/>
      <c r="H56" s="3"/>
      <c r="I56" s="3"/>
      <c r="J56" s="3"/>
      <c r="K56" s="3"/>
      <c r="L56" s="3"/>
      <c r="M56" s="3"/>
    </row>
    <row r="57" spans="1:35" ht="18.75">
      <c r="A57" s="3"/>
      <c r="B57" s="89" t="s">
        <v>378</v>
      </c>
      <c r="C57" s="3"/>
      <c r="D57" s="3"/>
      <c r="E57" s="3"/>
      <c r="F57" s="3"/>
      <c r="G57" s="3"/>
      <c r="H57" s="3"/>
      <c r="I57" s="3"/>
      <c r="J57" s="3"/>
      <c r="K57" s="3"/>
      <c r="L57" s="3"/>
      <c r="M57" s="3"/>
    </row>
    <row r="58" spans="1:35" ht="15.75" thickBot="1">
      <c r="A58" s="3"/>
      <c r="B58" s="3"/>
      <c r="C58" s="3"/>
      <c r="D58" s="3"/>
      <c r="E58" s="3"/>
      <c r="F58" s="3"/>
      <c r="G58" s="3"/>
      <c r="H58" s="3"/>
      <c r="I58" s="3"/>
      <c r="J58" s="3"/>
      <c r="K58" s="3"/>
      <c r="L58" s="3"/>
      <c r="M58" s="3"/>
    </row>
    <row r="59" spans="1:35">
      <c r="A59" s="3"/>
      <c r="B59" s="725" t="s">
        <v>318</v>
      </c>
      <c r="C59" s="726"/>
      <c r="D59" s="727"/>
      <c r="E59" s="3"/>
      <c r="F59" s="3"/>
      <c r="G59" s="3"/>
      <c r="H59" s="3"/>
      <c r="I59" s="3"/>
      <c r="J59" s="3"/>
      <c r="K59" s="3"/>
      <c r="L59" s="3"/>
      <c r="M59" s="35"/>
      <c r="O59"/>
    </row>
    <row r="60" spans="1:35">
      <c r="A60" s="3"/>
      <c r="B60" s="101"/>
      <c r="C60" s="238" t="s">
        <v>319</v>
      </c>
      <c r="D60" s="239" t="s">
        <v>320</v>
      </c>
      <c r="E60" s="358"/>
      <c r="F60" s="3"/>
      <c r="G60" s="3"/>
      <c r="H60" s="3"/>
      <c r="I60" s="3"/>
      <c r="J60" s="3"/>
      <c r="K60" s="3"/>
      <c r="L60" s="3"/>
      <c r="M60" s="35"/>
      <c r="O60"/>
    </row>
    <row r="61" spans="1:35">
      <c r="A61" s="3"/>
      <c r="B61" s="102" t="s">
        <v>321</v>
      </c>
      <c r="C61" s="433">
        <v>80</v>
      </c>
      <c r="D61" s="411">
        <v>80</v>
      </c>
      <c r="E61" s="358"/>
      <c r="F61" s="358"/>
      <c r="G61" s="3"/>
      <c r="H61" s="3"/>
      <c r="I61" s="3"/>
      <c r="J61" s="3"/>
      <c r="K61" s="3"/>
      <c r="L61" s="3"/>
      <c r="M61" s="35"/>
      <c r="O61"/>
    </row>
    <row r="62" spans="1:35">
      <c r="A62" s="3"/>
      <c r="B62" s="237" t="s">
        <v>322</v>
      </c>
      <c r="C62" s="433">
        <v>0</v>
      </c>
      <c r="D62" s="411">
        <v>0</v>
      </c>
      <c r="E62" s="3"/>
      <c r="F62" s="3"/>
      <c r="G62" s="3"/>
      <c r="H62" s="235"/>
      <c r="I62" s="235"/>
      <c r="J62" s="3"/>
      <c r="K62" s="3"/>
      <c r="L62" s="3"/>
      <c r="M62" s="35"/>
      <c r="O62"/>
    </row>
    <row r="63" spans="1:35" ht="15.75" thickBot="1">
      <c r="A63" s="3"/>
      <c r="B63" s="103" t="s">
        <v>323</v>
      </c>
      <c r="C63" s="412">
        <v>10</v>
      </c>
      <c r="D63" s="413">
        <v>10</v>
      </c>
      <c r="E63" s="3"/>
      <c r="F63" s="3"/>
      <c r="G63" s="3"/>
      <c r="H63" s="235"/>
      <c r="I63" s="235"/>
      <c r="J63" s="3"/>
      <c r="K63" s="3"/>
      <c r="L63" s="3"/>
      <c r="M63" s="35"/>
      <c r="O63"/>
    </row>
    <row r="64" spans="1:35">
      <c r="A64" s="3"/>
      <c r="B64" s="3"/>
      <c r="C64" s="3"/>
      <c r="D64" s="3"/>
      <c r="E64" s="3"/>
      <c r="F64" s="3"/>
      <c r="G64" s="3"/>
      <c r="H64" s="3"/>
      <c r="I64" s="3"/>
      <c r="J64" s="3"/>
      <c r="K64" s="3"/>
      <c r="L64" s="3"/>
      <c r="M64" s="3"/>
    </row>
    <row r="65" spans="1:30" ht="15.75" thickBot="1">
      <c r="A65" s="3"/>
      <c r="B65" s="3"/>
      <c r="C65" s="3"/>
      <c r="D65" s="3"/>
      <c r="E65" s="3"/>
      <c r="F65" s="3"/>
      <c r="G65" s="3"/>
      <c r="H65" s="3"/>
      <c r="I65" s="3"/>
      <c r="J65" s="3"/>
      <c r="K65" s="3"/>
      <c r="L65" s="315"/>
      <c r="M65" s="3"/>
      <c r="AC65" s="19"/>
      <c r="AD65" s="19"/>
    </row>
    <row r="66" spans="1:30" ht="19.5" thickBot="1">
      <c r="A66" s="3"/>
      <c r="B66" s="104" t="s">
        <v>325</v>
      </c>
      <c r="C66" s="105"/>
      <c r="D66" s="105"/>
      <c r="E66" s="105"/>
      <c r="F66" s="105"/>
      <c r="G66" s="105" t="s">
        <v>433</v>
      </c>
      <c r="H66" s="350"/>
      <c r="I66" s="105"/>
      <c r="J66" s="106"/>
      <c r="K66" s="106"/>
      <c r="L66" s="316"/>
      <c r="M66" s="317"/>
      <c r="N66" s="83"/>
      <c r="O66" s="83"/>
      <c r="P66" s="83"/>
      <c r="S66" s="43"/>
      <c r="AC66" s="19"/>
      <c r="AD66" s="19"/>
    </row>
    <row r="67" spans="1:30" ht="18.75">
      <c r="A67" s="3"/>
      <c r="B67" s="108"/>
      <c r="C67" s="107"/>
      <c r="D67" s="107"/>
      <c r="E67" s="107"/>
      <c r="F67" s="107"/>
      <c r="G67" s="107"/>
      <c r="H67" s="107"/>
      <c r="I67" s="107"/>
      <c r="J67" s="107"/>
      <c r="K67" s="109"/>
      <c r="L67" s="109"/>
      <c r="M67" s="107"/>
      <c r="N67" s="83"/>
      <c r="O67" s="83"/>
      <c r="P67" s="83"/>
      <c r="S67" s="43"/>
      <c r="AC67" s="19"/>
      <c r="AD67" s="19"/>
    </row>
    <row r="68" spans="1:30" ht="18.75">
      <c r="A68" s="3"/>
      <c r="B68" s="108" t="s">
        <v>326</v>
      </c>
      <c r="C68" s="107"/>
      <c r="D68" s="107"/>
      <c r="E68" s="107"/>
      <c r="F68" s="107"/>
      <c r="G68" s="107"/>
      <c r="H68" s="107"/>
      <c r="I68" s="107"/>
      <c r="J68" s="107"/>
      <c r="K68" s="109"/>
      <c r="L68" s="109"/>
      <c r="M68" s="107"/>
      <c r="N68" s="83"/>
      <c r="O68" s="83"/>
      <c r="P68" s="83"/>
      <c r="S68" s="43"/>
      <c r="AC68" s="19"/>
      <c r="AD68" s="19"/>
    </row>
    <row r="69" spans="1:30" ht="15.75" thickBot="1">
      <c r="A69" s="3"/>
      <c r="B69" s="2"/>
      <c r="C69" s="110"/>
      <c r="D69" s="110"/>
      <c r="E69" s="110"/>
      <c r="F69" s="110"/>
      <c r="G69" s="110"/>
      <c r="H69" s="2"/>
      <c r="I69" s="110"/>
      <c r="J69" s="2"/>
      <c r="K69" s="2"/>
      <c r="L69" s="2"/>
      <c r="M69" s="2"/>
      <c r="N69" s="20"/>
      <c r="O69" s="19"/>
      <c r="P69" s="19"/>
      <c r="Q69" s="19"/>
      <c r="R69" s="19"/>
      <c r="S69" s="19"/>
      <c r="AD69" s="19"/>
    </row>
    <row r="70" spans="1:30" ht="60">
      <c r="A70" s="3"/>
      <c r="B70" s="689"/>
      <c r="C70" s="690"/>
      <c r="D70" s="111" t="s">
        <v>329</v>
      </c>
      <c r="E70" s="112" t="s">
        <v>330</v>
      </c>
      <c r="F70" s="112" t="s">
        <v>331</v>
      </c>
      <c r="G70" s="113" t="s">
        <v>39</v>
      </c>
      <c r="H70" s="243"/>
      <c r="I70" s="244"/>
      <c r="J70" s="15"/>
      <c r="K70" s="2"/>
      <c r="L70" s="2"/>
      <c r="M70" s="2"/>
      <c r="N70" s="20"/>
      <c r="O70" s="19"/>
      <c r="P70" s="19"/>
      <c r="Q70" s="19"/>
      <c r="R70" s="19"/>
      <c r="S70" s="19"/>
    </row>
    <row r="71" spans="1:30">
      <c r="A71" s="3"/>
      <c r="B71" s="731" t="s">
        <v>327</v>
      </c>
      <c r="C71" s="732"/>
      <c r="D71" s="208">
        <v>3</v>
      </c>
      <c r="E71" s="208"/>
      <c r="F71" s="208"/>
      <c r="G71" s="432">
        <f>SUM(D71:F71)</f>
        <v>3</v>
      </c>
      <c r="H71" s="229"/>
      <c r="I71" s="242"/>
      <c r="J71" s="242"/>
      <c r="K71" s="2" t="s">
        <v>324</v>
      </c>
      <c r="L71" s="2"/>
      <c r="M71" s="2"/>
      <c r="N71" s="20"/>
      <c r="O71" s="19"/>
      <c r="P71" s="19"/>
      <c r="Q71" s="19"/>
      <c r="R71" s="19"/>
      <c r="S71" s="19"/>
    </row>
    <row r="72" spans="1:30" ht="15.75" thickBot="1">
      <c r="A72" s="3"/>
      <c r="B72" s="687" t="s">
        <v>328</v>
      </c>
      <c r="C72" s="688"/>
      <c r="D72" s="209"/>
      <c r="E72" s="209"/>
      <c r="F72" s="209"/>
      <c r="G72" s="116">
        <f>SUM(D72:F72)</f>
        <v>0</v>
      </c>
      <c r="H72" s="229"/>
      <c r="I72" s="15"/>
      <c r="J72" s="15"/>
      <c r="K72" s="2"/>
      <c r="L72" s="2"/>
      <c r="M72" s="2"/>
      <c r="N72" s="19"/>
      <c r="O72" s="19"/>
      <c r="P72" s="19"/>
      <c r="Q72" s="19"/>
      <c r="R72" s="19"/>
      <c r="S72" s="19"/>
    </row>
    <row r="73" spans="1:30">
      <c r="A73" s="3"/>
      <c r="B73" s="2"/>
      <c r="C73" s="2"/>
      <c r="D73" s="2"/>
      <c r="E73" s="2"/>
      <c r="F73" s="2"/>
      <c r="G73" s="2"/>
      <c r="H73" s="2"/>
      <c r="I73" s="2"/>
      <c r="J73" s="2"/>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S74" s="19"/>
    </row>
    <row r="75" spans="1:30" ht="18.75">
      <c r="A75" s="3"/>
      <c r="B75" s="108" t="s">
        <v>332</v>
      </c>
      <c r="C75" s="2"/>
      <c r="D75" s="2"/>
      <c r="E75" s="2"/>
      <c r="F75" s="2"/>
      <c r="G75" s="2"/>
      <c r="H75" s="2"/>
      <c r="I75" s="2"/>
      <c r="J75" s="2"/>
      <c r="K75" s="2"/>
      <c r="L75" s="2"/>
      <c r="M75" s="2"/>
      <c r="N75" s="19"/>
      <c r="O75" s="19"/>
      <c r="P75" s="19"/>
      <c r="S75" s="19"/>
    </row>
    <row r="76" spans="1:30" ht="15.75" thickBot="1">
      <c r="A76" s="3"/>
      <c r="B76" s="2"/>
      <c r="C76" s="2"/>
      <c r="D76" s="2"/>
      <c r="E76" s="2"/>
      <c r="F76" s="2"/>
      <c r="G76" s="2"/>
      <c r="H76" s="2"/>
      <c r="I76" s="2"/>
      <c r="J76" s="2"/>
      <c r="K76" s="2"/>
      <c r="L76" s="2"/>
      <c r="M76" s="2"/>
      <c r="N76" s="19"/>
      <c r="O76" s="19"/>
      <c r="P76" s="19"/>
      <c r="S76" s="19"/>
    </row>
    <row r="77" spans="1:30">
      <c r="A77" s="3"/>
      <c r="B77" s="117"/>
      <c r="C77" s="349" t="s">
        <v>333</v>
      </c>
      <c r="D77" s="349" t="s">
        <v>334</v>
      </c>
      <c r="E77" s="118" t="s">
        <v>335</v>
      </c>
      <c r="F77" s="15"/>
      <c r="G77" s="15"/>
      <c r="H77" s="15"/>
      <c r="I77" s="244"/>
      <c r="J77" s="2"/>
      <c r="K77" s="2"/>
      <c r="L77" s="2"/>
      <c r="M77" s="2"/>
      <c r="N77" s="19"/>
      <c r="O77" s="19"/>
      <c r="P77" s="19"/>
      <c r="S77" s="19"/>
    </row>
    <row r="78" spans="1:30" ht="15.75" thickBot="1">
      <c r="A78" s="3"/>
      <c r="B78" s="119" t="s">
        <v>431</v>
      </c>
      <c r="C78" s="434">
        <v>6</v>
      </c>
      <c r="D78" s="434">
        <v>6</v>
      </c>
      <c r="E78" s="435">
        <f>+C78-D78</f>
        <v>0</v>
      </c>
      <c r="F78" s="212"/>
      <c r="G78" s="217"/>
      <c r="H78" s="15"/>
      <c r="I78" s="242"/>
      <c r="J78" s="2"/>
      <c r="K78" s="2"/>
      <c r="L78" s="2"/>
      <c r="M78" s="2"/>
      <c r="N78" s="19"/>
      <c r="O78" s="19"/>
      <c r="P78" s="19"/>
      <c r="S78" s="19"/>
    </row>
    <row r="79" spans="1:30">
      <c r="A79" s="3"/>
      <c r="B79" s="2"/>
      <c r="C79" s="2"/>
      <c r="D79" s="2"/>
      <c r="E79" s="2"/>
      <c r="F79" s="2"/>
      <c r="G79" s="2"/>
      <c r="H79" s="2"/>
      <c r="I79" s="2"/>
      <c r="J79" s="2"/>
      <c r="K79" s="2"/>
      <c r="L79" s="2"/>
      <c r="M79" s="2"/>
      <c r="N79" s="19"/>
      <c r="O79" s="19"/>
      <c r="P79" s="19"/>
      <c r="S79" s="19"/>
    </row>
    <row r="80" spans="1:30" ht="18.75">
      <c r="A80" s="3"/>
      <c r="B80" s="108" t="s">
        <v>336</v>
      </c>
      <c r="C80" s="2"/>
      <c r="D80" s="2"/>
      <c r="E80" s="2"/>
      <c r="F80" s="2"/>
      <c r="G80" s="2"/>
      <c r="H80" s="2"/>
      <c r="I80" s="2"/>
      <c r="J80" s="2"/>
      <c r="K80" s="2"/>
      <c r="L80" s="2"/>
      <c r="M80" s="2"/>
      <c r="N80" s="19"/>
      <c r="O80" s="19"/>
      <c r="P80" s="19"/>
      <c r="S80" s="19"/>
    </row>
    <row r="81" spans="1:36" ht="15.75" thickBot="1">
      <c r="A81" s="3"/>
      <c r="B81" s="2"/>
      <c r="C81" s="2"/>
      <c r="D81" s="2"/>
      <c r="E81" s="2"/>
      <c r="F81" s="2"/>
      <c r="G81" s="2"/>
      <c r="H81" s="2"/>
      <c r="I81" s="2"/>
      <c r="J81" s="2"/>
      <c r="K81" s="2"/>
      <c r="L81" s="2"/>
      <c r="M81" s="2"/>
      <c r="N81" s="19"/>
      <c r="O81" s="19"/>
      <c r="P81" s="19"/>
      <c r="S81" s="19"/>
    </row>
    <row r="82" spans="1:36" ht="30">
      <c r="A82" s="3"/>
      <c r="B82" s="117"/>
      <c r="C82" s="349" t="s">
        <v>337</v>
      </c>
      <c r="D82" s="349" t="s">
        <v>338</v>
      </c>
      <c r="E82" s="349" t="s">
        <v>339</v>
      </c>
      <c r="F82" s="349" t="s">
        <v>340</v>
      </c>
      <c r="G82" s="143" t="s">
        <v>341</v>
      </c>
      <c r="H82" s="218"/>
      <c r="I82" s="244"/>
      <c r="J82" s="2"/>
      <c r="K82" s="2"/>
      <c r="L82" s="2"/>
      <c r="M82" s="2"/>
      <c r="N82" s="19"/>
      <c r="O82" s="19"/>
      <c r="P82" s="19"/>
      <c r="S82" s="19"/>
    </row>
    <row r="83" spans="1:36" ht="15.75" thickBot="1">
      <c r="A83" s="3"/>
      <c r="B83" s="119" t="s">
        <v>79</v>
      </c>
      <c r="C83" s="434">
        <v>1</v>
      </c>
      <c r="D83" s="434">
        <v>1</v>
      </c>
      <c r="E83" s="434">
        <v>1</v>
      </c>
      <c r="F83" s="434">
        <v>1</v>
      </c>
      <c r="G83" s="436">
        <v>1</v>
      </c>
      <c r="H83" s="245"/>
      <c r="I83" s="229"/>
      <c r="J83" s="2"/>
      <c r="K83" s="2"/>
      <c r="L83" s="2"/>
      <c r="M83" s="2"/>
      <c r="N83" s="19"/>
      <c r="O83" s="19"/>
      <c r="P83" s="19"/>
      <c r="S83" s="19"/>
    </row>
    <row r="84" spans="1:36">
      <c r="A84" s="3"/>
      <c r="B84" s="2"/>
      <c r="C84" s="437"/>
      <c r="D84" s="437"/>
      <c r="E84" s="437"/>
      <c r="F84" s="437"/>
      <c r="G84" s="437"/>
      <c r="H84" s="2"/>
      <c r="J84" s="2"/>
      <c r="K84" s="2"/>
      <c r="L84" s="2"/>
      <c r="M84" s="2"/>
      <c r="N84" s="19"/>
      <c r="O84" s="19"/>
      <c r="P84" s="19"/>
      <c r="S84" s="19"/>
    </row>
    <row r="85" spans="1:36" ht="18.75">
      <c r="A85" s="3"/>
      <c r="B85" s="108" t="s">
        <v>342</v>
      </c>
      <c r="C85" s="2"/>
      <c r="D85" s="2"/>
      <c r="E85" s="2"/>
      <c r="F85" s="2"/>
      <c r="G85" s="2"/>
      <c r="H85" s="2"/>
      <c r="I85" s="2"/>
      <c r="J85" s="2"/>
      <c r="K85" s="2"/>
      <c r="L85" s="2"/>
      <c r="M85" s="2"/>
      <c r="N85" s="19"/>
      <c r="O85" s="19"/>
      <c r="P85" s="19"/>
      <c r="S85" s="19"/>
    </row>
    <row r="86" spans="1:36" ht="15.75" thickBot="1">
      <c r="A86" s="3"/>
      <c r="B86" s="2"/>
      <c r="C86" s="2"/>
      <c r="D86" s="2"/>
      <c r="E86" s="2"/>
      <c r="F86" s="2"/>
      <c r="G86" s="2"/>
      <c r="H86" s="2"/>
      <c r="I86" s="2"/>
      <c r="J86" s="2"/>
      <c r="K86" s="2"/>
      <c r="L86" s="2"/>
      <c r="M86" s="2"/>
      <c r="N86" s="19"/>
      <c r="O86" s="19"/>
      <c r="P86" s="19"/>
      <c r="S86" s="19"/>
    </row>
    <row r="87" spans="1:36">
      <c r="A87" s="3"/>
      <c r="B87" s="117"/>
      <c r="C87" s="120" t="s">
        <v>345</v>
      </c>
      <c r="D87" s="120" t="s">
        <v>346</v>
      </c>
      <c r="E87" s="121" t="s">
        <v>347</v>
      </c>
      <c r="F87" s="2"/>
      <c r="G87" s="2"/>
      <c r="H87" s="2"/>
      <c r="I87" s="2"/>
      <c r="J87" s="19"/>
      <c r="K87" s="19"/>
      <c r="L87" s="19"/>
      <c r="N87"/>
      <c r="O87" s="19"/>
      <c r="AG87" s="35"/>
      <c r="AJ87"/>
    </row>
    <row r="88" spans="1:36">
      <c r="A88" s="3"/>
      <c r="B88" s="114" t="s">
        <v>343</v>
      </c>
      <c r="C88" s="208">
        <v>0</v>
      </c>
      <c r="D88" s="438">
        <v>0</v>
      </c>
      <c r="E88" s="439">
        <f>C88-D88</f>
        <v>0</v>
      </c>
      <c r="F88" s="2"/>
      <c r="G88" s="2"/>
      <c r="H88" s="2"/>
      <c r="I88" s="2"/>
      <c r="J88" s="19"/>
      <c r="K88" s="19"/>
      <c r="L88" s="19"/>
      <c r="N88"/>
      <c r="O88" s="19"/>
      <c r="AG88" s="35"/>
      <c r="AJ88"/>
    </row>
    <row r="89" spans="1:36" ht="15.75" thickBot="1">
      <c r="A89" s="3"/>
      <c r="B89" s="115" t="s">
        <v>344</v>
      </c>
      <c r="C89" s="209">
        <v>3</v>
      </c>
      <c r="D89" s="440">
        <v>3</v>
      </c>
      <c r="E89" s="441">
        <f>C89-D89</f>
        <v>0</v>
      </c>
      <c r="F89" s="2"/>
      <c r="G89" s="2"/>
      <c r="H89" s="2"/>
      <c r="I89" s="2"/>
      <c r="J89" s="19"/>
      <c r="K89" s="19"/>
      <c r="L89" s="19"/>
      <c r="N89"/>
      <c r="O89" s="19"/>
      <c r="AG89" s="35"/>
      <c r="AJ89"/>
    </row>
    <row r="90" spans="1:36">
      <c r="A90" s="3"/>
      <c r="B90" s="2"/>
      <c r="C90" s="2"/>
      <c r="D90" s="2"/>
      <c r="E90" s="2"/>
      <c r="F90" s="2"/>
      <c r="G90" s="2"/>
      <c r="H90" s="2"/>
      <c r="I90" s="2"/>
      <c r="J90" s="2"/>
      <c r="K90" s="2"/>
      <c r="L90" s="2"/>
      <c r="M90" s="2"/>
      <c r="N90" s="19"/>
      <c r="O90" s="19"/>
      <c r="P90" s="19"/>
      <c r="S90" s="19"/>
    </row>
    <row r="91" spans="1:36" ht="18.75">
      <c r="A91" s="3"/>
      <c r="B91" s="108" t="s">
        <v>348</v>
      </c>
      <c r="C91" s="2"/>
      <c r="D91" s="2"/>
      <c r="E91" s="2"/>
      <c r="F91" s="2"/>
      <c r="G91" s="2"/>
      <c r="H91" s="2"/>
      <c r="I91" s="2"/>
      <c r="J91" s="2"/>
      <c r="K91" s="2"/>
      <c r="L91" s="2"/>
      <c r="M91" s="2"/>
      <c r="N91" s="19"/>
      <c r="O91" s="19"/>
      <c r="P91" s="19"/>
      <c r="S91" s="19"/>
    </row>
    <row r="92" spans="1:36" ht="15.75" thickBot="1">
      <c r="A92" s="3"/>
      <c r="B92" s="2"/>
      <c r="C92" s="2"/>
      <c r="D92" s="2"/>
      <c r="E92" s="2"/>
      <c r="F92" s="2"/>
      <c r="G92" s="2"/>
      <c r="H92" s="2"/>
      <c r="I92" s="15"/>
      <c r="J92" s="15"/>
      <c r="K92" s="15"/>
      <c r="L92" s="15"/>
      <c r="M92" s="15"/>
      <c r="N92" s="20"/>
      <c r="O92" s="20"/>
      <c r="P92" s="20"/>
      <c r="S92" s="19"/>
    </row>
    <row r="93" spans="1:36">
      <c r="A93" s="3"/>
      <c r="B93" s="179"/>
      <c r="C93" s="287" t="s">
        <v>62</v>
      </c>
      <c r="D93" s="287" t="s">
        <v>63</v>
      </c>
      <c r="E93" s="287" t="s">
        <v>64</v>
      </c>
      <c r="F93" s="287" t="s">
        <v>65</v>
      </c>
      <c r="G93" s="287" t="s">
        <v>72</v>
      </c>
      <c r="H93" s="287" t="s">
        <v>73</v>
      </c>
      <c r="I93" s="287" t="s">
        <v>74</v>
      </c>
      <c r="J93" s="287" t="s">
        <v>75</v>
      </c>
      <c r="K93" s="287" t="s">
        <v>76</v>
      </c>
      <c r="L93" s="287" t="s">
        <v>77</v>
      </c>
      <c r="M93" s="287" t="s">
        <v>78</v>
      </c>
      <c r="N93" s="288" t="s">
        <v>232</v>
      </c>
      <c r="O93" s="20"/>
      <c r="P93" s="20"/>
      <c r="S93" s="19"/>
    </row>
    <row r="94" spans="1:36" ht="15" customHeight="1">
      <c r="A94" s="3"/>
      <c r="B94" s="289" t="s">
        <v>349</v>
      </c>
      <c r="C94" s="394">
        <v>1387405.1</v>
      </c>
      <c r="D94" s="394">
        <v>465365.61</v>
      </c>
      <c r="E94" s="279">
        <v>1011697.52</v>
      </c>
      <c r="F94" s="279">
        <v>796892.74</v>
      </c>
      <c r="G94" s="279">
        <v>2649257.31</v>
      </c>
      <c r="H94" s="394"/>
      <c r="I94" s="394"/>
      <c r="J94" s="279"/>
      <c r="K94" s="279"/>
      <c r="L94" s="279"/>
      <c r="M94" s="279"/>
      <c r="N94" s="339"/>
      <c r="O94" s="20"/>
      <c r="P94" s="20"/>
      <c r="S94" s="19"/>
    </row>
    <row r="95" spans="1:36" ht="15" customHeight="1">
      <c r="A95" s="3"/>
      <c r="B95" s="289" t="s">
        <v>350</v>
      </c>
      <c r="C95" s="394">
        <v>1585909.66</v>
      </c>
      <c r="D95" s="394">
        <v>477235.64</v>
      </c>
      <c r="E95" s="279">
        <v>1165384.79</v>
      </c>
      <c r="F95" s="279">
        <v>676627.95</v>
      </c>
      <c r="G95" s="279">
        <v>2909253.13</v>
      </c>
      <c r="H95" s="394"/>
      <c r="I95" s="394"/>
      <c r="J95" s="279"/>
      <c r="K95" s="279"/>
      <c r="L95" s="279"/>
      <c r="M95" s="279"/>
      <c r="N95" s="339"/>
      <c r="O95" s="20"/>
      <c r="P95" s="20"/>
      <c r="S95" s="19"/>
    </row>
    <row r="96" spans="1:36" ht="15" customHeight="1">
      <c r="A96" s="3"/>
      <c r="B96" s="289" t="s">
        <v>351</v>
      </c>
      <c r="C96" s="394">
        <v>1387405.1</v>
      </c>
      <c r="D96" s="394">
        <v>465365.61</v>
      </c>
      <c r="E96" s="279">
        <v>1011697.52</v>
      </c>
      <c r="F96" s="279">
        <v>966607.85</v>
      </c>
      <c r="G96" s="279">
        <v>2386862.89</v>
      </c>
      <c r="H96" s="394"/>
      <c r="I96" s="394"/>
      <c r="J96" s="279"/>
      <c r="K96" s="279"/>
      <c r="L96" s="279"/>
      <c r="M96" s="279"/>
      <c r="N96" s="339"/>
      <c r="O96" s="20"/>
      <c r="P96" s="20"/>
      <c r="S96" s="19"/>
    </row>
    <row r="97" spans="1:19" ht="15" customHeight="1">
      <c r="A97" s="3"/>
      <c r="B97" s="247" t="s">
        <v>352</v>
      </c>
      <c r="C97" s="442">
        <v>2475363.62</v>
      </c>
      <c r="D97" s="395">
        <f>+C97+D94</f>
        <v>2940729.23</v>
      </c>
      <c r="E97" s="280">
        <f>+D97+E94</f>
        <v>3952426.75</v>
      </c>
      <c r="F97" s="280">
        <f t="shared" ref="F97:N97" si="4">+E97+F94</f>
        <v>4749319.49</v>
      </c>
      <c r="G97" s="280">
        <f t="shared" si="4"/>
        <v>7398576.8000000007</v>
      </c>
      <c r="H97" s="395">
        <f t="shared" si="4"/>
        <v>7398576.8000000007</v>
      </c>
      <c r="I97" s="395">
        <f t="shared" si="4"/>
        <v>7398576.8000000007</v>
      </c>
      <c r="J97" s="280">
        <f t="shared" si="4"/>
        <v>7398576.8000000007</v>
      </c>
      <c r="K97" s="280">
        <f t="shared" si="4"/>
        <v>7398576.8000000007</v>
      </c>
      <c r="L97" s="395">
        <f>+K97+L94</f>
        <v>7398576.8000000007</v>
      </c>
      <c r="M97" s="395">
        <f t="shared" si="4"/>
        <v>7398576.8000000007</v>
      </c>
      <c r="N97" s="420">
        <f t="shared" si="4"/>
        <v>7398576.8000000007</v>
      </c>
      <c r="O97" s="20"/>
      <c r="P97" s="20"/>
      <c r="S97" s="19"/>
    </row>
    <row r="98" spans="1:19" ht="15" customHeight="1">
      <c r="A98" s="3"/>
      <c r="B98" s="247" t="s">
        <v>353</v>
      </c>
      <c r="C98" s="442">
        <v>87919.039999999994</v>
      </c>
      <c r="D98" s="395">
        <f t="shared" ref="D98:N99" si="5">+C98+D95</f>
        <v>565154.68000000005</v>
      </c>
      <c r="E98" s="280">
        <f>+D98+E95</f>
        <v>1730539.4700000002</v>
      </c>
      <c r="F98" s="280">
        <f t="shared" si="5"/>
        <v>2407167.42</v>
      </c>
      <c r="G98" s="280">
        <f t="shared" si="5"/>
        <v>5316420.55</v>
      </c>
      <c r="H98" s="395">
        <f t="shared" si="5"/>
        <v>5316420.55</v>
      </c>
      <c r="I98" s="395">
        <f>+H98+I95</f>
        <v>5316420.55</v>
      </c>
      <c r="J98" s="280">
        <f t="shared" si="5"/>
        <v>5316420.55</v>
      </c>
      <c r="K98" s="280">
        <f>+J98+K95</f>
        <v>5316420.55</v>
      </c>
      <c r="L98" s="395">
        <f>+K98+L95</f>
        <v>5316420.55</v>
      </c>
      <c r="M98" s="395">
        <f t="shared" si="5"/>
        <v>5316420.55</v>
      </c>
      <c r="N98" s="420">
        <f t="shared" si="5"/>
        <v>5316420.55</v>
      </c>
      <c r="O98" s="20"/>
      <c r="P98" s="20"/>
      <c r="S98" s="19"/>
    </row>
    <row r="99" spans="1:19" ht="15.75" thickBot="1">
      <c r="A99" s="3"/>
      <c r="B99" s="337" t="s">
        <v>354</v>
      </c>
      <c r="C99" s="443">
        <v>1387405.1</v>
      </c>
      <c r="D99" s="396">
        <f t="shared" si="5"/>
        <v>1852770.71</v>
      </c>
      <c r="E99" s="338">
        <f>+D99+E96</f>
        <v>2864468.23</v>
      </c>
      <c r="F99" s="338">
        <f t="shared" si="5"/>
        <v>3831076.08</v>
      </c>
      <c r="G99" s="338">
        <f t="shared" si="5"/>
        <v>6217938.9700000007</v>
      </c>
      <c r="H99" s="396">
        <f t="shared" si="5"/>
        <v>6217938.9700000007</v>
      </c>
      <c r="I99" s="396">
        <f t="shared" si="5"/>
        <v>6217938.9700000007</v>
      </c>
      <c r="J99" s="338">
        <f t="shared" si="5"/>
        <v>6217938.9700000007</v>
      </c>
      <c r="K99" s="338">
        <f t="shared" si="5"/>
        <v>6217938.9700000007</v>
      </c>
      <c r="L99" s="396">
        <f t="shared" si="5"/>
        <v>6217938.9700000007</v>
      </c>
      <c r="M99" s="396">
        <f>+L99+M96</f>
        <v>6217938.9700000007</v>
      </c>
      <c r="N99" s="421">
        <f t="shared" si="5"/>
        <v>6217938.9700000007</v>
      </c>
      <c r="O99" s="20"/>
      <c r="P99" s="20"/>
      <c r="S99" s="19"/>
    </row>
    <row r="100" spans="1:19">
      <c r="A100" s="3"/>
      <c r="B100" s="3"/>
      <c r="C100" s="2"/>
      <c r="D100" s="2"/>
      <c r="E100" s="2"/>
      <c r="F100" s="2"/>
      <c r="G100" s="2"/>
      <c r="H100" s="2"/>
      <c r="I100" s="15"/>
      <c r="J100" s="122"/>
      <c r="K100" s="123"/>
      <c r="L100" s="15"/>
      <c r="M100" s="124"/>
      <c r="N100" s="20"/>
      <c r="O100" s="20"/>
      <c r="P100" s="20"/>
      <c r="S100" s="19"/>
    </row>
    <row r="101" spans="1:19">
      <c r="A101" s="3"/>
      <c r="B101" s="2" t="s">
        <v>476</v>
      </c>
      <c r="C101" s="2"/>
      <c r="D101" s="2"/>
      <c r="E101" s="2"/>
      <c r="F101" s="2"/>
      <c r="G101" s="2"/>
      <c r="H101" s="2"/>
      <c r="I101" s="15"/>
      <c r="J101" s="122"/>
      <c r="K101" s="123"/>
      <c r="L101" s="15"/>
      <c r="M101" s="124"/>
      <c r="N101" s="20"/>
      <c r="O101" s="20"/>
      <c r="P101" s="20"/>
      <c r="S101" s="19"/>
    </row>
    <row r="102" spans="1:19">
      <c r="A102" s="3"/>
      <c r="C102" s="2"/>
      <c r="D102" s="2"/>
      <c r="E102" s="2"/>
      <c r="F102" s="2"/>
      <c r="G102" s="2"/>
      <c r="H102" s="2"/>
      <c r="I102" s="15"/>
      <c r="J102" s="122"/>
      <c r="K102" s="124"/>
      <c r="L102" s="15"/>
      <c r="M102" s="124"/>
      <c r="N102" s="422"/>
      <c r="O102" s="20"/>
      <c r="P102" s="20"/>
      <c r="S102" s="19"/>
    </row>
    <row r="103" spans="1:19">
      <c r="A103" s="3"/>
      <c r="B103" s="3"/>
      <c r="C103" s="3"/>
      <c r="D103" s="3"/>
      <c r="E103" s="3"/>
      <c r="F103" s="3"/>
      <c r="G103" s="3"/>
      <c r="H103" s="3"/>
      <c r="I103" s="15"/>
      <c r="J103" s="15"/>
      <c r="K103" s="15"/>
      <c r="L103" s="15"/>
      <c r="M103" s="15"/>
      <c r="N103" s="422"/>
      <c r="O103" s="20"/>
      <c r="P103" s="20"/>
    </row>
    <row r="104" spans="1:19" ht="18.75">
      <c r="A104" s="3"/>
      <c r="B104" s="108" t="s">
        <v>355</v>
      </c>
      <c r="C104" s="3"/>
      <c r="D104" s="3"/>
      <c r="E104" s="3"/>
      <c r="F104" s="3"/>
      <c r="G104" s="3"/>
      <c r="H104" s="3"/>
      <c r="I104" s="15"/>
      <c r="J104" s="15"/>
      <c r="K104" s="15"/>
      <c r="L104" s="15"/>
      <c r="M104" s="15"/>
      <c r="N104" s="422"/>
      <c r="O104" s="20"/>
      <c r="P104" s="20"/>
    </row>
    <row r="105" spans="1:19" ht="15.75" thickBot="1">
      <c r="A105" s="3"/>
      <c r="B105" s="3"/>
      <c r="C105" s="15"/>
      <c r="D105" s="15"/>
      <c r="E105" s="15"/>
      <c r="F105" s="15"/>
      <c r="G105" s="2"/>
      <c r="H105" s="2"/>
      <c r="I105" s="2"/>
      <c r="J105" s="15"/>
      <c r="K105" s="2"/>
      <c r="L105" s="15"/>
      <c r="M105" s="15"/>
      <c r="N105" s="20"/>
      <c r="O105" s="20"/>
      <c r="P105" s="20"/>
      <c r="Q105" s="19"/>
      <c r="S105" s="20"/>
    </row>
    <row r="106" spans="1:19" ht="90.75" customHeight="1">
      <c r="A106" s="3"/>
      <c r="B106" s="248" t="s">
        <v>356</v>
      </c>
      <c r="C106" s="249" t="s">
        <v>357</v>
      </c>
      <c r="D106" s="251" t="s">
        <v>358</v>
      </c>
      <c r="E106" s="251" t="s">
        <v>359</v>
      </c>
      <c r="F106" s="250" t="s">
        <v>360</v>
      </c>
      <c r="G106" s="250" t="s">
        <v>361</v>
      </c>
      <c r="H106" s="251" t="s">
        <v>362</v>
      </c>
      <c r="I106" s="251" t="s">
        <v>384</v>
      </c>
      <c r="J106" s="251" t="s">
        <v>363</v>
      </c>
      <c r="K106" s="252" t="s">
        <v>364</v>
      </c>
      <c r="L106" s="2"/>
      <c r="M106" s="20"/>
      <c r="N106" s="20"/>
      <c r="O106" s="20"/>
      <c r="P106" s="19"/>
      <c r="R106" s="20"/>
    </row>
    <row r="107" spans="1:19">
      <c r="A107" s="3"/>
      <c r="B107" s="736" t="s">
        <v>270</v>
      </c>
      <c r="C107" s="306" t="s">
        <v>270</v>
      </c>
      <c r="D107" s="307"/>
      <c r="E107" s="308" t="str">
        <f>IF(ISBLANK(D107),"",D107*30)</f>
        <v/>
      </c>
      <c r="F107" s="281"/>
      <c r="G107" s="282" t="str">
        <f>IF(AND(E107&gt;0,F107&gt;0),(F107*E107),"")</f>
        <v/>
      </c>
      <c r="H107" s="281"/>
      <c r="I107" s="321" t="str">
        <f>IF(AND(G107&gt;0,H107&gt;0),H107/G107,"")</f>
        <v/>
      </c>
      <c r="J107" s="309"/>
      <c r="K107" s="340" t="str">
        <f>IF(AND(I107&gt;0,J107&gt;0),I107-J107,"")</f>
        <v/>
      </c>
      <c r="L107" s="2"/>
      <c r="M107" s="20"/>
      <c r="N107" s="20"/>
      <c r="O107" s="20"/>
      <c r="P107" s="19"/>
      <c r="R107" s="20"/>
    </row>
    <row r="108" spans="1:19">
      <c r="A108" s="3"/>
      <c r="B108" s="737"/>
      <c r="C108" s="306" t="s">
        <v>270</v>
      </c>
      <c r="D108" s="307"/>
      <c r="E108" s="308" t="str">
        <f>IF(ISBLANK(D108),"",D108*30)</f>
        <v/>
      </c>
      <c r="F108" s="281"/>
      <c r="G108" s="282" t="str">
        <f>IF(AND(E108&gt;0,F108&gt;0),(F108*E108),"")</f>
        <v/>
      </c>
      <c r="H108" s="281"/>
      <c r="I108" s="321" t="str">
        <f>IF(AND(G108&gt;0,H108&gt;0),H108/G108,"")</f>
        <v/>
      </c>
      <c r="J108" s="309"/>
      <c r="K108" s="340" t="str">
        <f>IF(AND(I108&gt;0,J108&gt;0),I108-J108,"")</f>
        <v/>
      </c>
      <c r="L108" s="2"/>
      <c r="M108" s="20"/>
      <c r="N108" s="20"/>
      <c r="O108" s="20"/>
      <c r="P108" s="19"/>
    </row>
    <row r="109" spans="1:19">
      <c r="A109" s="3"/>
      <c r="B109" s="737"/>
      <c r="C109" s="306" t="s">
        <v>270</v>
      </c>
      <c r="D109" s="307"/>
      <c r="E109" s="308" t="str">
        <f>IF(ISBLANK(D109),"",D109*30)</f>
        <v/>
      </c>
      <c r="F109" s="281"/>
      <c r="G109" s="282" t="str">
        <f>IF(AND(E109&gt;0,F109&gt;0),(F109*E109),"")</f>
        <v/>
      </c>
      <c r="H109" s="281"/>
      <c r="I109" s="321" t="str">
        <f>IF(AND(G109&gt;0,H109&gt;0),H109/G109,"")</f>
        <v/>
      </c>
      <c r="J109" s="309"/>
      <c r="K109" s="340" t="str">
        <f>IF(AND(I109&gt;0,J109&gt;0),I109-J109,"")</f>
        <v/>
      </c>
      <c r="L109" s="2"/>
      <c r="M109" s="20"/>
      <c r="N109" s="20"/>
      <c r="O109" s="20"/>
      <c r="P109" s="19"/>
      <c r="R109" s="20"/>
    </row>
    <row r="110" spans="1:19" ht="15.75" thickBot="1">
      <c r="A110" s="3"/>
      <c r="B110" s="738"/>
      <c r="C110" s="310" t="s">
        <v>270</v>
      </c>
      <c r="D110" s="311"/>
      <c r="E110" s="334" t="str">
        <f>IF(ISBLANK(D110),"",D110*30)</f>
        <v/>
      </c>
      <c r="F110" s="283"/>
      <c r="G110" s="335" t="str">
        <f>IF(AND(E110&gt;0,F110&gt;0),(F110*E110),"")</f>
        <v/>
      </c>
      <c r="H110" s="283"/>
      <c r="I110" s="336" t="str">
        <f>IF(AND(G110&gt;0,H110&gt;0),H110/G110,"")</f>
        <v/>
      </c>
      <c r="J110" s="312"/>
      <c r="K110" s="341" t="str">
        <f>IF(AND(I110&gt;0,J110&gt;0),I110-J110,"")</f>
        <v/>
      </c>
      <c r="L110" s="2"/>
      <c r="M110" s="20"/>
      <c r="N110" s="20"/>
      <c r="O110" s="20"/>
      <c r="P110" s="19"/>
      <c r="R110" s="20"/>
    </row>
    <row r="111" spans="1:19">
      <c r="A111" s="3"/>
      <c r="B111" s="3"/>
      <c r="C111" s="3"/>
      <c r="D111" s="3"/>
      <c r="E111" s="3"/>
      <c r="F111" s="3"/>
      <c r="G111" s="2"/>
      <c r="H111" s="2"/>
      <c r="I111" s="2"/>
      <c r="J111" s="3"/>
      <c r="K111" s="3"/>
      <c r="L111" s="2"/>
      <c r="M111" s="2"/>
      <c r="N111" s="20"/>
      <c r="O111" s="20"/>
      <c r="P111" s="20"/>
      <c r="Q111" s="19"/>
      <c r="S111" s="20"/>
    </row>
    <row r="112" spans="1:19" ht="15.75" thickBot="1">
      <c r="A112" s="3"/>
      <c r="B112" s="3"/>
      <c r="C112" s="3"/>
      <c r="D112" s="3"/>
      <c r="E112" s="3"/>
      <c r="F112" s="3"/>
      <c r="G112" s="3"/>
      <c r="H112" s="3"/>
      <c r="I112" s="2"/>
      <c r="J112" s="107"/>
      <c r="K112" s="107"/>
      <c r="L112" s="3"/>
      <c r="M112" s="3"/>
    </row>
    <row r="113" spans="1:20" ht="19.5" thickBot="1">
      <c r="A113" s="3"/>
      <c r="B113" s="198" t="s">
        <v>365</v>
      </c>
      <c r="C113" s="125"/>
      <c r="D113" s="125"/>
      <c r="E113" s="126"/>
      <c r="F113" s="126"/>
      <c r="G113" s="126"/>
      <c r="H113" s="205"/>
      <c r="I113" s="199"/>
      <c r="J113" s="265"/>
      <c r="K113" s="266" t="s">
        <v>425</v>
      </c>
      <c r="L113" s="126"/>
      <c r="M113" s="267"/>
      <c r="N113" s="268"/>
      <c r="O113" s="268"/>
      <c r="P113" s="314"/>
      <c r="Q113" s="35"/>
    </row>
    <row r="114" spans="1:20" ht="15.75" thickBot="1">
      <c r="A114" s="3"/>
      <c r="B114" s="3"/>
      <c r="C114" s="3"/>
      <c r="D114" s="3"/>
      <c r="E114" s="3"/>
      <c r="F114" s="3"/>
      <c r="G114" s="3"/>
      <c r="H114" s="3"/>
      <c r="I114" s="3"/>
      <c r="J114" s="3"/>
      <c r="K114" s="3"/>
      <c r="L114" s="3"/>
      <c r="M114" s="3"/>
      <c r="N114"/>
      <c r="O114"/>
      <c r="P114" s="35"/>
      <c r="Q114" s="35"/>
    </row>
    <row r="115" spans="1:20" ht="42.75" customHeight="1">
      <c r="A115" s="3"/>
      <c r="B115" s="733" t="s">
        <v>370</v>
      </c>
      <c r="C115" s="734"/>
      <c r="D115" s="735"/>
      <c r="E115" s="254" t="s">
        <v>371</v>
      </c>
      <c r="F115" s="353" t="s">
        <v>372</v>
      </c>
      <c r="G115" s="202"/>
      <c r="H115" s="296" t="s">
        <v>62</v>
      </c>
      <c r="I115" s="296" t="s">
        <v>63</v>
      </c>
      <c r="J115" s="296" t="s">
        <v>281</v>
      </c>
      <c r="K115" s="296" t="s">
        <v>65</v>
      </c>
      <c r="L115" s="296" t="s">
        <v>72</v>
      </c>
      <c r="M115" s="296" t="s">
        <v>73</v>
      </c>
      <c r="N115" s="296" t="s">
        <v>74</v>
      </c>
      <c r="O115" s="296" t="s">
        <v>75</v>
      </c>
      <c r="P115" s="296" t="s">
        <v>76</v>
      </c>
      <c r="Q115" s="296" t="s">
        <v>77</v>
      </c>
      <c r="R115" s="296" t="s">
        <v>78</v>
      </c>
      <c r="S115" s="297" t="s">
        <v>232</v>
      </c>
      <c r="T115" s="63"/>
    </row>
    <row r="116" spans="1:20" ht="21.75" customHeight="1">
      <c r="A116" s="730" t="s">
        <v>271</v>
      </c>
      <c r="B116" s="669" t="s">
        <v>474</v>
      </c>
      <c r="C116" s="670"/>
      <c r="D116" s="671"/>
      <c r="E116" s="678" t="s">
        <v>421</v>
      </c>
      <c r="F116" s="680" t="s">
        <v>369</v>
      </c>
      <c r="G116" s="347" t="s">
        <v>366</v>
      </c>
      <c r="H116" s="520">
        <v>10</v>
      </c>
      <c r="I116" s="521">
        <v>10</v>
      </c>
      <c r="J116" s="522">
        <v>9.3000000000000007</v>
      </c>
      <c r="K116" s="520">
        <v>9.3000000000000007</v>
      </c>
      <c r="L116" s="523">
        <v>8.6999999999999993</v>
      </c>
      <c r="M116" s="520"/>
      <c r="N116" s="520"/>
      <c r="O116" s="520"/>
      <c r="P116" s="520"/>
      <c r="Q116" s="520"/>
      <c r="R116" s="520"/>
      <c r="S116" s="524"/>
      <c r="T116" s="63"/>
    </row>
    <row r="117" spans="1:20" ht="21" customHeight="1">
      <c r="A117" s="730"/>
      <c r="B117" s="672"/>
      <c r="C117" s="673"/>
      <c r="D117" s="674"/>
      <c r="E117" s="679"/>
      <c r="F117" s="681"/>
      <c r="G117" s="347" t="s">
        <v>367</v>
      </c>
      <c r="H117" s="525">
        <v>9.9600000000000009</v>
      </c>
      <c r="I117" s="520">
        <v>10.130000000000001</v>
      </c>
      <c r="J117" s="522">
        <v>9.3000000000000007</v>
      </c>
      <c r="K117" s="522">
        <v>9.1999999999999993</v>
      </c>
      <c r="L117" s="523">
        <v>7.9</v>
      </c>
      <c r="M117" s="520"/>
      <c r="N117" s="520"/>
      <c r="O117" s="520"/>
      <c r="P117" s="520"/>
      <c r="Q117" s="520"/>
      <c r="R117" s="520"/>
      <c r="S117" s="524"/>
      <c r="T117" s="63"/>
    </row>
    <row r="118" spans="1:20" ht="30" customHeight="1">
      <c r="A118" s="730"/>
      <c r="B118" s="686" t="s">
        <v>470</v>
      </c>
      <c r="C118" s="670"/>
      <c r="D118" s="671"/>
      <c r="E118" s="684" t="s">
        <v>438</v>
      </c>
      <c r="F118" s="682" t="s">
        <v>369</v>
      </c>
      <c r="G118" s="406" t="s">
        <v>366</v>
      </c>
      <c r="H118" s="526">
        <v>22</v>
      </c>
      <c r="I118" s="527">
        <v>22</v>
      </c>
      <c r="J118" s="528">
        <v>21.5</v>
      </c>
      <c r="K118" s="526">
        <v>21.5</v>
      </c>
      <c r="L118" s="526">
        <v>20.5</v>
      </c>
      <c r="M118" s="526"/>
      <c r="N118" s="526"/>
      <c r="O118" s="526"/>
      <c r="P118" s="526"/>
      <c r="Q118" s="526"/>
      <c r="R118" s="526"/>
      <c r="S118" s="529"/>
      <c r="T118" s="63"/>
    </row>
    <row r="119" spans="1:20" ht="31.5" customHeight="1">
      <c r="A119" s="730"/>
      <c r="B119" s="672"/>
      <c r="C119" s="673"/>
      <c r="D119" s="674"/>
      <c r="E119" s="685"/>
      <c r="F119" s="683"/>
      <c r="G119" s="406" t="s">
        <v>367</v>
      </c>
      <c r="H119" s="526">
        <v>27.2</v>
      </c>
      <c r="I119" s="526">
        <v>25.3</v>
      </c>
      <c r="J119" s="528">
        <v>24.9</v>
      </c>
      <c r="K119" s="526">
        <v>26.1</v>
      </c>
      <c r="L119" s="526">
        <v>24.4</v>
      </c>
      <c r="M119" s="526"/>
      <c r="N119" s="526"/>
      <c r="O119" s="526"/>
      <c r="P119" s="526"/>
      <c r="Q119" s="526"/>
      <c r="R119" s="526"/>
      <c r="S119" s="529"/>
      <c r="T119" s="63"/>
    </row>
    <row r="120" spans="1:20" ht="32.25" customHeight="1">
      <c r="A120" s="730"/>
      <c r="B120" s="669" t="s">
        <v>471</v>
      </c>
      <c r="C120" s="670"/>
      <c r="D120" s="671"/>
      <c r="E120" s="678" t="s">
        <v>429</v>
      </c>
      <c r="F120" s="680" t="s">
        <v>369</v>
      </c>
      <c r="G120" s="347" t="s">
        <v>366</v>
      </c>
      <c r="H120" s="520">
        <v>55</v>
      </c>
      <c r="I120" s="521">
        <v>55</v>
      </c>
      <c r="J120" s="522">
        <v>60</v>
      </c>
      <c r="K120" s="530">
        <v>60</v>
      </c>
      <c r="L120" s="530">
        <v>65</v>
      </c>
      <c r="M120" s="531"/>
      <c r="N120" s="531"/>
      <c r="O120" s="531"/>
      <c r="P120" s="531"/>
      <c r="Q120" s="531"/>
      <c r="R120" s="531"/>
      <c r="S120" s="524"/>
      <c r="T120" s="63"/>
    </row>
    <row r="121" spans="1:20" ht="30.75" customHeight="1">
      <c r="A121" s="730"/>
      <c r="B121" s="672"/>
      <c r="C121" s="673"/>
      <c r="D121" s="674"/>
      <c r="E121" s="679"/>
      <c r="F121" s="681"/>
      <c r="G121" s="347" t="s">
        <v>367</v>
      </c>
      <c r="H121" s="525">
        <v>59</v>
      </c>
      <c r="I121" s="520">
        <v>59</v>
      </c>
      <c r="J121" s="522">
        <v>57.1</v>
      </c>
      <c r="K121" s="532">
        <v>57.1</v>
      </c>
      <c r="L121" s="530">
        <v>49.7</v>
      </c>
      <c r="M121" s="531"/>
      <c r="N121" s="531"/>
      <c r="O121" s="531"/>
      <c r="P121" s="531"/>
      <c r="Q121" s="531"/>
      <c r="R121" s="531"/>
      <c r="S121" s="524"/>
      <c r="T121" s="63"/>
    </row>
    <row r="122" spans="1:20" ht="30.75" customHeight="1">
      <c r="A122" s="3"/>
      <c r="B122" s="686" t="s">
        <v>475</v>
      </c>
      <c r="C122" s="670"/>
      <c r="D122" s="671"/>
      <c r="E122" s="684" t="s">
        <v>428</v>
      </c>
      <c r="F122" s="682" t="s">
        <v>369</v>
      </c>
      <c r="G122" s="406" t="s">
        <v>366</v>
      </c>
      <c r="H122" s="526">
        <v>107.2</v>
      </c>
      <c r="I122" s="527">
        <v>107.2</v>
      </c>
      <c r="J122" s="528">
        <v>105.6</v>
      </c>
      <c r="K122" s="533">
        <v>105.6</v>
      </c>
      <c r="L122" s="533">
        <v>103.5</v>
      </c>
      <c r="M122" s="534"/>
      <c r="N122" s="534"/>
      <c r="O122" s="534"/>
      <c r="P122" s="534"/>
      <c r="Q122" s="534"/>
      <c r="R122" s="534"/>
      <c r="S122" s="529"/>
      <c r="T122" s="63"/>
    </row>
    <row r="123" spans="1:20" ht="30.75" customHeight="1">
      <c r="A123" s="3"/>
      <c r="B123" s="672"/>
      <c r="C123" s="673"/>
      <c r="D123" s="674"/>
      <c r="E123" s="685"/>
      <c r="F123" s="683"/>
      <c r="G123" s="406" t="s">
        <v>367</v>
      </c>
      <c r="H123" s="526">
        <v>103.2</v>
      </c>
      <c r="I123" s="526">
        <v>89.5</v>
      </c>
      <c r="J123" s="528">
        <v>88.7</v>
      </c>
      <c r="K123" s="533">
        <v>88.63</v>
      </c>
      <c r="L123" s="533">
        <v>83.3</v>
      </c>
      <c r="M123" s="534"/>
      <c r="N123" s="534"/>
      <c r="O123" s="534"/>
      <c r="P123" s="534"/>
      <c r="Q123" s="534"/>
      <c r="R123" s="534"/>
      <c r="S123" s="529"/>
      <c r="T123" s="63"/>
    </row>
    <row r="124" spans="1:20" ht="24" customHeight="1">
      <c r="A124" s="3"/>
      <c r="B124" s="669" t="s">
        <v>440</v>
      </c>
      <c r="C124" s="670"/>
      <c r="D124" s="671"/>
      <c r="E124" s="661" t="s">
        <v>441</v>
      </c>
      <c r="F124" s="652" t="s">
        <v>369</v>
      </c>
      <c r="G124" s="329" t="s">
        <v>52</v>
      </c>
      <c r="H124" s="535">
        <v>456</v>
      </c>
      <c r="I124" s="535">
        <v>456</v>
      </c>
      <c r="J124" s="535">
        <v>912</v>
      </c>
      <c r="K124" s="536">
        <v>651</v>
      </c>
      <c r="L124" s="536">
        <v>868</v>
      </c>
      <c r="M124" s="536"/>
      <c r="N124" s="536"/>
      <c r="O124" s="536"/>
      <c r="P124" s="536"/>
      <c r="Q124" s="536"/>
      <c r="R124" s="536"/>
      <c r="S124" s="537"/>
      <c r="T124" s="63"/>
    </row>
    <row r="125" spans="1:20" ht="24.75" customHeight="1">
      <c r="A125" s="3"/>
      <c r="B125" s="672"/>
      <c r="C125" s="673"/>
      <c r="D125" s="674"/>
      <c r="E125" s="661"/>
      <c r="F125" s="652"/>
      <c r="G125" s="329" t="s">
        <v>53</v>
      </c>
      <c r="H125" s="535">
        <v>429</v>
      </c>
      <c r="I125" s="535">
        <v>320</v>
      </c>
      <c r="J125" s="535">
        <v>754</v>
      </c>
      <c r="K125" s="536">
        <v>442</v>
      </c>
      <c r="L125" s="536">
        <v>1031</v>
      </c>
      <c r="M125" s="536"/>
      <c r="N125" s="536"/>
      <c r="O125" s="536"/>
      <c r="P125" s="536"/>
      <c r="Q125" s="536"/>
      <c r="R125" s="536"/>
      <c r="S125" s="537"/>
      <c r="T125" s="63"/>
    </row>
    <row r="126" spans="1:20" ht="24" customHeight="1">
      <c r="A126" s="3"/>
      <c r="B126" s="686" t="s">
        <v>442</v>
      </c>
      <c r="C126" s="670"/>
      <c r="D126" s="671"/>
      <c r="E126" s="667" t="s">
        <v>443</v>
      </c>
      <c r="F126" s="664" t="s">
        <v>369</v>
      </c>
      <c r="G126" s="328" t="s">
        <v>52</v>
      </c>
      <c r="H126" s="538">
        <v>410</v>
      </c>
      <c r="I126" s="538">
        <v>390</v>
      </c>
      <c r="J126" s="539">
        <v>780</v>
      </c>
      <c r="K126" s="540">
        <v>365</v>
      </c>
      <c r="L126" s="533">
        <v>730</v>
      </c>
      <c r="M126" s="534"/>
      <c r="N126" s="534"/>
      <c r="O126" s="534"/>
      <c r="P126" s="534"/>
      <c r="Q126" s="534"/>
      <c r="R126" s="534"/>
      <c r="S126" s="529"/>
      <c r="T126" s="63"/>
    </row>
    <row r="127" spans="1:20" ht="24.75" customHeight="1">
      <c r="A127" s="3"/>
      <c r="B127" s="672"/>
      <c r="C127" s="673"/>
      <c r="D127" s="674"/>
      <c r="E127" s="668"/>
      <c r="F127" s="665"/>
      <c r="G127" s="328" t="s">
        <v>53</v>
      </c>
      <c r="H127" s="538">
        <v>481</v>
      </c>
      <c r="I127" s="538">
        <v>528</v>
      </c>
      <c r="J127" s="539">
        <v>1036</v>
      </c>
      <c r="K127" s="540">
        <v>497</v>
      </c>
      <c r="L127" s="533">
        <v>976</v>
      </c>
      <c r="M127" s="534"/>
      <c r="N127" s="534"/>
      <c r="O127" s="534"/>
      <c r="P127" s="534"/>
      <c r="Q127" s="534"/>
      <c r="R127" s="534"/>
      <c r="S127" s="529"/>
      <c r="T127" s="63"/>
    </row>
    <row r="128" spans="1:20" ht="24.75" customHeight="1">
      <c r="A128" s="3"/>
      <c r="B128" s="669" t="s">
        <v>445</v>
      </c>
      <c r="C128" s="670"/>
      <c r="D128" s="671"/>
      <c r="E128" s="661" t="s">
        <v>444</v>
      </c>
      <c r="F128" s="652" t="s">
        <v>369</v>
      </c>
      <c r="G128" s="329" t="s">
        <v>52</v>
      </c>
      <c r="H128" s="541">
        <v>6.6</v>
      </c>
      <c r="I128" s="541">
        <v>6.3</v>
      </c>
      <c r="J128" s="541">
        <v>6.1</v>
      </c>
      <c r="K128" s="542">
        <v>5.4</v>
      </c>
      <c r="L128" s="542">
        <v>5.4</v>
      </c>
      <c r="M128" s="543"/>
      <c r="N128" s="543"/>
      <c r="O128" s="543"/>
      <c r="P128" s="543"/>
      <c r="Q128" s="543"/>
      <c r="R128" s="543"/>
      <c r="S128" s="537"/>
      <c r="T128" s="63"/>
    </row>
    <row r="129" spans="1:21" ht="24" customHeight="1">
      <c r="A129" s="3"/>
      <c r="B129" s="672"/>
      <c r="C129" s="673"/>
      <c r="D129" s="674"/>
      <c r="E129" s="661"/>
      <c r="F129" s="652"/>
      <c r="G129" s="329" t="s">
        <v>53</v>
      </c>
      <c r="H129" s="541">
        <v>8.6999999999999993</v>
      </c>
      <c r="I129" s="541">
        <v>11.4</v>
      </c>
      <c r="J129" s="541">
        <v>10</v>
      </c>
      <c r="K129" s="542">
        <v>9.5</v>
      </c>
      <c r="L129" s="542">
        <v>9.9</v>
      </c>
      <c r="M129" s="543"/>
      <c r="N129" s="543"/>
      <c r="O129" s="543"/>
      <c r="P129" s="543"/>
      <c r="Q129" s="543"/>
      <c r="R129" s="543"/>
      <c r="S129" s="537"/>
      <c r="T129" s="63"/>
    </row>
    <row r="130" spans="1:21" ht="39" hidden="1" customHeight="1">
      <c r="A130" s="3"/>
      <c r="B130" s="686"/>
      <c r="C130" s="709"/>
      <c r="D130" s="710"/>
      <c r="E130" s="659"/>
      <c r="F130" s="657"/>
      <c r="G130" s="348"/>
      <c r="H130" s="410"/>
      <c r="I130" s="444"/>
      <c r="J130" s="409"/>
      <c r="K130" s="410"/>
      <c r="L130" s="410"/>
      <c r="M130" s="410"/>
      <c r="N130" s="410"/>
      <c r="O130" s="410"/>
      <c r="P130" s="410"/>
      <c r="Q130" s="410"/>
      <c r="R130" s="410"/>
      <c r="S130" s="332"/>
      <c r="T130" s="63"/>
    </row>
    <row r="131" spans="1:21" ht="33.75" hidden="1" customHeight="1">
      <c r="A131" s="3"/>
      <c r="B131" s="711"/>
      <c r="C131" s="712"/>
      <c r="D131" s="713"/>
      <c r="E131" s="660"/>
      <c r="F131" s="658"/>
      <c r="G131" s="348"/>
      <c r="H131" s="410"/>
      <c r="I131" s="410"/>
      <c r="J131" s="409"/>
      <c r="K131" s="410"/>
      <c r="L131" s="410"/>
      <c r="M131" s="410"/>
      <c r="N131" s="410"/>
      <c r="O131" s="410"/>
      <c r="P131" s="410"/>
      <c r="Q131" s="410"/>
      <c r="R131" s="410"/>
      <c r="S131" s="332"/>
      <c r="T131" s="63"/>
    </row>
    <row r="132" spans="1:21" ht="24.75" hidden="1" customHeight="1">
      <c r="A132" s="3"/>
      <c r="B132" s="669"/>
      <c r="C132" s="670"/>
      <c r="D132" s="671"/>
      <c r="E132" s="661"/>
      <c r="F132" s="652"/>
      <c r="G132" s="329"/>
      <c r="H132" s="330"/>
      <c r="I132" s="330"/>
      <c r="J132" s="344"/>
      <c r="K132" s="330"/>
      <c r="L132" s="330"/>
      <c r="M132" s="330"/>
      <c r="N132" s="330"/>
      <c r="O132" s="330"/>
      <c r="P132" s="330"/>
      <c r="Q132" s="330"/>
      <c r="R132" s="330"/>
      <c r="S132" s="331"/>
      <c r="T132" s="63"/>
    </row>
    <row r="133" spans="1:21" ht="24" hidden="1" customHeight="1">
      <c r="A133" s="3"/>
      <c r="B133" s="672"/>
      <c r="C133" s="673"/>
      <c r="D133" s="674"/>
      <c r="E133" s="661"/>
      <c r="F133" s="652"/>
      <c r="G133" s="329"/>
      <c r="H133" s="330"/>
      <c r="I133" s="330"/>
      <c r="J133" s="344"/>
      <c r="K133" s="330"/>
      <c r="L133" s="330"/>
      <c r="M133" s="330"/>
      <c r="N133" s="330"/>
      <c r="O133" s="330"/>
      <c r="P133" s="330"/>
      <c r="Q133" s="330"/>
      <c r="R133" s="330"/>
      <c r="S133" s="331"/>
      <c r="T133" s="63"/>
    </row>
    <row r="134" spans="1:21" ht="21" hidden="1" customHeight="1">
      <c r="A134" s="3"/>
      <c r="B134" s="686"/>
      <c r="C134" s="670"/>
      <c r="D134" s="671"/>
      <c r="E134" s="667"/>
      <c r="F134" s="664"/>
      <c r="G134" s="328"/>
      <c r="H134" s="253"/>
      <c r="I134" s="253"/>
      <c r="J134" s="342"/>
      <c r="K134" s="253"/>
      <c r="L134" s="253"/>
      <c r="M134" s="253"/>
      <c r="N134" s="253"/>
      <c r="O134" s="253"/>
      <c r="P134" s="253"/>
      <c r="Q134" s="253"/>
      <c r="R134" s="253"/>
      <c r="S134" s="332"/>
      <c r="T134" s="63"/>
    </row>
    <row r="135" spans="1:21" ht="21.75" hidden="1" customHeight="1">
      <c r="A135" s="3"/>
      <c r="B135" s="672"/>
      <c r="C135" s="673"/>
      <c r="D135" s="674"/>
      <c r="E135" s="668"/>
      <c r="F135" s="665"/>
      <c r="G135" s="328"/>
      <c r="H135" s="253"/>
      <c r="I135" s="253"/>
      <c r="J135" s="343"/>
      <c r="K135" s="253"/>
      <c r="L135" s="253"/>
      <c r="M135" s="253"/>
      <c r="N135" s="253"/>
      <c r="O135" s="253"/>
      <c r="P135" s="253"/>
      <c r="Q135" s="253"/>
      <c r="R135" s="253"/>
      <c r="S135" s="332"/>
      <c r="T135" s="63"/>
    </row>
    <row r="136" spans="1:21" ht="26.25" hidden="1" customHeight="1">
      <c r="A136" s="3"/>
      <c r="B136" s="669"/>
      <c r="C136" s="670"/>
      <c r="D136" s="671"/>
      <c r="E136" s="661"/>
      <c r="F136" s="652"/>
      <c r="G136" s="329"/>
      <c r="H136" s="478"/>
      <c r="I136" s="478"/>
      <c r="J136" s="484"/>
      <c r="K136" s="330"/>
      <c r="L136" s="330"/>
      <c r="M136" s="330"/>
      <c r="N136" s="330"/>
      <c r="O136" s="330"/>
      <c r="P136" s="330"/>
      <c r="Q136" s="330"/>
      <c r="R136" s="330"/>
      <c r="S136" s="331"/>
      <c r="T136" s="63"/>
    </row>
    <row r="137" spans="1:21" ht="24" hidden="1" customHeight="1">
      <c r="A137" s="3"/>
      <c r="B137" s="672"/>
      <c r="C137" s="673"/>
      <c r="D137" s="674"/>
      <c r="E137" s="661"/>
      <c r="F137" s="652"/>
      <c r="G137" s="329"/>
      <c r="H137" s="478"/>
      <c r="I137" s="478"/>
      <c r="J137" s="484"/>
      <c r="K137" s="330"/>
      <c r="L137" s="330"/>
      <c r="M137" s="330"/>
      <c r="N137" s="330"/>
      <c r="O137" s="330"/>
      <c r="P137" s="330"/>
      <c r="Q137" s="330"/>
      <c r="R137" s="330"/>
      <c r="S137" s="331"/>
      <c r="T137" s="63"/>
    </row>
    <row r="138" spans="1:21">
      <c r="A138" s="3"/>
      <c r="B138" s="3"/>
      <c r="C138" s="3"/>
      <c r="D138" s="3"/>
      <c r="E138" s="3"/>
      <c r="F138" s="3"/>
      <c r="G138" s="2"/>
      <c r="H138" s="3"/>
      <c r="I138" s="3"/>
      <c r="J138" s="3"/>
      <c r="K138" s="3"/>
      <c r="L138" s="3"/>
      <c r="M138" s="3"/>
      <c r="N138" s="3"/>
      <c r="O138" s="3"/>
      <c r="R138" s="35"/>
      <c r="S138" s="35"/>
    </row>
    <row r="139" spans="1:21" ht="16.5" thickBot="1">
      <c r="A139" s="3"/>
      <c r="B139" s="255"/>
      <c r="C139" s="3"/>
      <c r="D139" s="3"/>
      <c r="E139" s="3"/>
      <c r="F139" s="3"/>
      <c r="G139" s="2"/>
      <c r="H139" s="3"/>
      <c r="I139" s="3"/>
      <c r="J139" s="3"/>
      <c r="K139" s="3"/>
      <c r="L139" s="3"/>
      <c r="M139" s="3"/>
      <c r="N139" s="3"/>
      <c r="O139" s="3"/>
      <c r="R139" s="35"/>
      <c r="S139" s="35"/>
    </row>
    <row r="140" spans="1:21" ht="41.25" customHeight="1">
      <c r="A140" s="3"/>
      <c r="B140" s="3" t="s">
        <v>420</v>
      </c>
      <c r="C140" s="3"/>
      <c r="D140" s="3"/>
      <c r="E140" s="254" t="s">
        <v>371</v>
      </c>
      <c r="F140" s="353" t="s">
        <v>372</v>
      </c>
      <c r="G140" s="202"/>
      <c r="H140" s="296" t="str">
        <f t="shared" ref="H140:S140" si="6">C30</f>
        <v>P1</v>
      </c>
      <c r="I140" s="296" t="str">
        <f t="shared" si="6"/>
        <v>P2</v>
      </c>
      <c r="J140" s="296" t="str">
        <f t="shared" si="6"/>
        <v>P3</v>
      </c>
      <c r="K140" s="296" t="str">
        <f t="shared" si="6"/>
        <v>P4</v>
      </c>
      <c r="L140" s="296" t="str">
        <f t="shared" si="6"/>
        <v>P5</v>
      </c>
      <c r="M140" s="296" t="str">
        <f t="shared" si="6"/>
        <v>P6</v>
      </c>
      <c r="N140" s="296" t="str">
        <f t="shared" si="6"/>
        <v>P7</v>
      </c>
      <c r="O140" s="296" t="str">
        <f t="shared" si="6"/>
        <v>P8</v>
      </c>
      <c r="P140" s="296" t="str">
        <f t="shared" si="6"/>
        <v>P9</v>
      </c>
      <c r="Q140" s="296" t="str">
        <f t="shared" si="6"/>
        <v>P10</v>
      </c>
      <c r="R140" s="296" t="str">
        <f t="shared" si="6"/>
        <v>P11</v>
      </c>
      <c r="S140" s="297" t="str">
        <f t="shared" si="6"/>
        <v>P12</v>
      </c>
      <c r="T140" s="35"/>
      <c r="U140" s="35"/>
    </row>
    <row r="141" spans="1:21" ht="25.5" customHeight="1">
      <c r="A141" s="3"/>
      <c r="B141" s="696" t="str">
        <f>IF(ISBLANK(B116),"",(B116))</f>
        <v>Rata mortalităţii  - Numărul de decese cauzate de TB (toate formele) pe an, la 100 000 persoane</v>
      </c>
      <c r="C141" s="714"/>
      <c r="D141" s="715"/>
      <c r="E141" s="666" t="str">
        <f>IF(ISBLANK(E116),"",(E116))</f>
        <v>Impact 1</v>
      </c>
      <c r="F141" s="663" t="str">
        <f>IF(ISBLANK(F116),"",(F116))</f>
        <v>Nu</v>
      </c>
      <c r="G141" s="347" t="s">
        <v>366</v>
      </c>
      <c r="H141" s="513">
        <f t="shared" ref="H141:L146" si="7">H116</f>
        <v>10</v>
      </c>
      <c r="I141" s="513">
        <f t="shared" si="7"/>
        <v>10</v>
      </c>
      <c r="J141" s="513">
        <f t="shared" si="7"/>
        <v>9.3000000000000007</v>
      </c>
      <c r="K141" s="513">
        <f t="shared" si="7"/>
        <v>9.3000000000000007</v>
      </c>
      <c r="L141" s="513">
        <f t="shared" si="7"/>
        <v>8.6999999999999993</v>
      </c>
      <c r="M141" s="513">
        <f t="shared" ref="M141:S146" si="8">M116</f>
        <v>0</v>
      </c>
      <c r="N141" s="513">
        <f t="shared" si="8"/>
        <v>0</v>
      </c>
      <c r="O141" s="513">
        <f t="shared" si="8"/>
        <v>0</v>
      </c>
      <c r="P141" s="513">
        <f t="shared" si="8"/>
        <v>0</v>
      </c>
      <c r="Q141" s="513">
        <f t="shared" si="8"/>
        <v>0</v>
      </c>
      <c r="R141" s="513">
        <f t="shared" si="8"/>
        <v>0</v>
      </c>
      <c r="S141" s="514">
        <f t="shared" si="8"/>
        <v>0</v>
      </c>
      <c r="T141" s="35"/>
      <c r="U141" s="35"/>
    </row>
    <row r="142" spans="1:21" ht="25.5" customHeight="1">
      <c r="A142" s="3"/>
      <c r="B142" s="716"/>
      <c r="C142" s="717"/>
      <c r="D142" s="718"/>
      <c r="E142" s="666"/>
      <c r="F142" s="663"/>
      <c r="G142" s="347" t="s">
        <v>367</v>
      </c>
      <c r="H142" s="515">
        <f t="shared" si="7"/>
        <v>9.9600000000000009</v>
      </c>
      <c r="I142" s="515">
        <f t="shared" si="7"/>
        <v>10.130000000000001</v>
      </c>
      <c r="J142" s="515">
        <f t="shared" si="7"/>
        <v>9.3000000000000007</v>
      </c>
      <c r="K142" s="515">
        <f t="shared" si="7"/>
        <v>9.1999999999999993</v>
      </c>
      <c r="L142" s="515">
        <f t="shared" si="7"/>
        <v>7.9</v>
      </c>
      <c r="M142" s="513">
        <f t="shared" si="8"/>
        <v>0</v>
      </c>
      <c r="N142" s="513">
        <f t="shared" si="8"/>
        <v>0</v>
      </c>
      <c r="O142" s="513">
        <f t="shared" si="8"/>
        <v>0</v>
      </c>
      <c r="P142" s="513">
        <f t="shared" si="8"/>
        <v>0</v>
      </c>
      <c r="Q142" s="513">
        <f t="shared" si="8"/>
        <v>0</v>
      </c>
      <c r="R142" s="513">
        <f t="shared" si="8"/>
        <v>0</v>
      </c>
      <c r="S142" s="514">
        <f t="shared" si="8"/>
        <v>0</v>
      </c>
      <c r="T142" s="35"/>
      <c r="U142" s="35"/>
    </row>
    <row r="143" spans="1:21" ht="26.25" customHeight="1">
      <c r="A143" s="3"/>
      <c r="B143" s="703" t="str">
        <f>IF(ISBLANK(B118),"",(B118))</f>
        <v xml:space="preserve">Prevalența TB MDR printre cazurile noi de tuberculoză - Numărul cazurilor noi de tuberculoză cu cultura pozitivă, testate la sensibilitate pentru preparatele de linia I, diagnosticate cu MDR, din numărul total de cazuri noi de tuberculoză cu cultura pozitivă, testate la sensibilitate pentru preparatele de linia I, pe parcursul anului </v>
      </c>
      <c r="C143" s="704"/>
      <c r="D143" s="705"/>
      <c r="E143" s="702" t="str">
        <f>IF(ISBLANK(E118),"",(E118))</f>
        <v>Impact 2</v>
      </c>
      <c r="F143" s="662" t="str">
        <f>IF(ISBLANK(F118),"",(F118))</f>
        <v>Nu</v>
      </c>
      <c r="G143" s="348" t="s">
        <v>366</v>
      </c>
      <c r="H143" s="516">
        <f t="shared" si="7"/>
        <v>22</v>
      </c>
      <c r="I143" s="516">
        <f t="shared" si="7"/>
        <v>22</v>
      </c>
      <c r="J143" s="516">
        <f t="shared" si="7"/>
        <v>21.5</v>
      </c>
      <c r="K143" s="516">
        <f t="shared" si="7"/>
        <v>21.5</v>
      </c>
      <c r="L143" s="516">
        <f t="shared" si="7"/>
        <v>20.5</v>
      </c>
      <c r="M143" s="516">
        <f t="shared" si="8"/>
        <v>0</v>
      </c>
      <c r="N143" s="516">
        <f t="shared" si="8"/>
        <v>0</v>
      </c>
      <c r="O143" s="516">
        <f t="shared" si="8"/>
        <v>0</v>
      </c>
      <c r="P143" s="516">
        <f t="shared" si="8"/>
        <v>0</v>
      </c>
      <c r="Q143" s="516">
        <f t="shared" si="8"/>
        <v>0</v>
      </c>
      <c r="R143" s="516">
        <f t="shared" si="8"/>
        <v>0</v>
      </c>
      <c r="S143" s="517">
        <f t="shared" si="8"/>
        <v>0</v>
      </c>
      <c r="T143" s="35"/>
      <c r="U143" s="35"/>
    </row>
    <row r="144" spans="1:21" ht="28.5" customHeight="1">
      <c r="A144" s="3"/>
      <c r="B144" s="706"/>
      <c r="C144" s="707"/>
      <c r="D144" s="708"/>
      <c r="E144" s="702"/>
      <c r="F144" s="662"/>
      <c r="G144" s="348" t="s">
        <v>367</v>
      </c>
      <c r="H144" s="516">
        <f t="shared" si="7"/>
        <v>27.2</v>
      </c>
      <c r="I144" s="516">
        <f t="shared" si="7"/>
        <v>25.3</v>
      </c>
      <c r="J144" s="516">
        <f t="shared" si="7"/>
        <v>24.9</v>
      </c>
      <c r="K144" s="516">
        <f t="shared" si="7"/>
        <v>26.1</v>
      </c>
      <c r="L144" s="516">
        <f t="shared" si="7"/>
        <v>24.4</v>
      </c>
      <c r="M144" s="516">
        <f t="shared" si="8"/>
        <v>0</v>
      </c>
      <c r="N144" s="516">
        <f t="shared" si="8"/>
        <v>0</v>
      </c>
      <c r="O144" s="516">
        <f t="shared" si="8"/>
        <v>0</v>
      </c>
      <c r="P144" s="516">
        <f t="shared" si="8"/>
        <v>0</v>
      </c>
      <c r="Q144" s="516">
        <f t="shared" si="8"/>
        <v>0</v>
      </c>
      <c r="R144" s="516">
        <f t="shared" si="8"/>
        <v>0</v>
      </c>
      <c r="S144" s="517">
        <f t="shared" si="8"/>
        <v>0</v>
      </c>
      <c r="T144" s="35"/>
      <c r="U144" s="35"/>
    </row>
    <row r="145" spans="1:21" ht="31.5" customHeight="1">
      <c r="A145" s="3"/>
      <c r="B145" s="696" t="str">
        <f>IF(ISBLANK(B120),"",(B120))</f>
        <v xml:space="preserve">Rata succesului tratamentului pacienților cu TB MDR - Numărul şi procentul cazurilor de TB DR confirmate bacteriologic (RR-TB și/sau MDR-TB), tratate cu succes (vindecate și cu tratamente încheiate), din numărul total de cazuri înregistrate sub DOTS Plus într-o anumită perioadă de timp </v>
      </c>
      <c r="C145" s="697"/>
      <c r="D145" s="698"/>
      <c r="E145" s="655" t="str">
        <f>IF(ISBLANK(E120),"",(E120))</f>
        <v>Rezultat 1</v>
      </c>
      <c r="F145" s="653" t="str">
        <f>IF(ISBLANK(F120),"",(F120))</f>
        <v>Nu</v>
      </c>
      <c r="G145" s="347" t="s">
        <v>366</v>
      </c>
      <c r="H145" s="513">
        <f t="shared" si="7"/>
        <v>55</v>
      </c>
      <c r="I145" s="513">
        <f t="shared" ref="I145:L145" si="9">I120</f>
        <v>55</v>
      </c>
      <c r="J145" s="513">
        <f t="shared" si="9"/>
        <v>60</v>
      </c>
      <c r="K145" s="513">
        <f t="shared" si="9"/>
        <v>60</v>
      </c>
      <c r="L145" s="513">
        <f t="shared" si="9"/>
        <v>65</v>
      </c>
      <c r="M145" s="513">
        <f t="shared" si="8"/>
        <v>0</v>
      </c>
      <c r="N145" s="513">
        <f t="shared" si="8"/>
        <v>0</v>
      </c>
      <c r="O145" s="513">
        <f t="shared" si="8"/>
        <v>0</v>
      </c>
      <c r="P145" s="513">
        <f t="shared" si="8"/>
        <v>0</v>
      </c>
      <c r="Q145" s="513">
        <f t="shared" si="8"/>
        <v>0</v>
      </c>
      <c r="R145" s="513">
        <f t="shared" si="8"/>
        <v>0</v>
      </c>
      <c r="S145" s="514">
        <f t="shared" si="8"/>
        <v>0</v>
      </c>
      <c r="T145" s="35"/>
      <c r="U145" s="35"/>
    </row>
    <row r="146" spans="1:21" ht="30.75" customHeight="1" thickBot="1">
      <c r="A146" s="3"/>
      <c r="B146" s="699"/>
      <c r="C146" s="700"/>
      <c r="D146" s="701"/>
      <c r="E146" s="656"/>
      <c r="F146" s="654"/>
      <c r="G146" s="354" t="s">
        <v>367</v>
      </c>
      <c r="H146" s="518">
        <f t="shared" si="7"/>
        <v>59</v>
      </c>
      <c r="I146" s="518">
        <f t="shared" ref="I146:L146" si="10">I121</f>
        <v>59</v>
      </c>
      <c r="J146" s="518">
        <f t="shared" si="10"/>
        <v>57.1</v>
      </c>
      <c r="K146" s="518">
        <f t="shared" si="10"/>
        <v>57.1</v>
      </c>
      <c r="L146" s="518">
        <f t="shared" si="10"/>
        <v>49.7</v>
      </c>
      <c r="M146" s="518">
        <f t="shared" si="8"/>
        <v>0</v>
      </c>
      <c r="N146" s="518">
        <f t="shared" si="8"/>
        <v>0</v>
      </c>
      <c r="O146" s="518">
        <f t="shared" si="8"/>
        <v>0</v>
      </c>
      <c r="P146" s="518">
        <f t="shared" si="8"/>
        <v>0</v>
      </c>
      <c r="Q146" s="518">
        <f t="shared" si="8"/>
        <v>0</v>
      </c>
      <c r="R146" s="518">
        <f t="shared" si="8"/>
        <v>0</v>
      </c>
      <c r="S146" s="519">
        <f t="shared" si="8"/>
        <v>0</v>
      </c>
      <c r="T146" s="35"/>
      <c r="U146" s="35"/>
    </row>
    <row r="147" spans="1:21">
      <c r="A147" s="3"/>
      <c r="B147" s="3"/>
      <c r="C147" s="3"/>
      <c r="D147" s="3"/>
      <c r="E147" s="3"/>
      <c r="F147" s="3"/>
      <c r="G147" s="3"/>
      <c r="H147" s="3"/>
      <c r="I147" s="3"/>
      <c r="J147" s="3"/>
      <c r="K147" s="3"/>
      <c r="L147" s="3"/>
      <c r="M147" s="3"/>
      <c r="N147"/>
      <c r="O147"/>
      <c r="P147" s="35"/>
      <c r="Q147" s="35"/>
      <c r="S147" s="333"/>
    </row>
    <row r="148" spans="1:21">
      <c r="N148"/>
      <c r="O148"/>
      <c r="P148" s="35"/>
      <c r="Q148" s="35"/>
    </row>
    <row r="149" spans="1:21">
      <c r="N149"/>
      <c r="O149"/>
      <c r="P149" s="35"/>
      <c r="Q149" s="35"/>
    </row>
    <row r="150" spans="1:21">
      <c r="N150"/>
      <c r="O150"/>
      <c r="P150" s="35"/>
      <c r="Q150" s="35"/>
    </row>
  </sheetData>
  <dataConsolidate link="1"/>
  <mergeCells count="75">
    <mergeCell ref="B2:J2"/>
    <mergeCell ref="C4:D4"/>
    <mergeCell ref="E4:F4"/>
    <mergeCell ref="G4:J4"/>
    <mergeCell ref="H16:I16"/>
    <mergeCell ref="C10:D10"/>
    <mergeCell ref="E12:F12"/>
    <mergeCell ref="I8:J8"/>
    <mergeCell ref="I6:J6"/>
    <mergeCell ref="G12:J12"/>
    <mergeCell ref="G10:J10"/>
    <mergeCell ref="C6:D6"/>
    <mergeCell ref="E6:F6"/>
    <mergeCell ref="C8:D8"/>
    <mergeCell ref="B14:J14"/>
    <mergeCell ref="C12:D12"/>
    <mergeCell ref="B120:D121"/>
    <mergeCell ref="B122:D123"/>
    <mergeCell ref="A116:A121"/>
    <mergeCell ref="B71:C71"/>
    <mergeCell ref="B115:D115"/>
    <mergeCell ref="B107:B110"/>
    <mergeCell ref="B26:C26"/>
    <mergeCell ref="D24:E24"/>
    <mergeCell ref="B29:N29"/>
    <mergeCell ref="B59:D59"/>
    <mergeCell ref="G24:H24"/>
    <mergeCell ref="I24:J24"/>
    <mergeCell ref="B18:C18"/>
    <mergeCell ref="D18:F18"/>
    <mergeCell ref="B21:J21"/>
    <mergeCell ref="E10:F10"/>
    <mergeCell ref="B145:D146"/>
    <mergeCell ref="E143:E144"/>
    <mergeCell ref="B143:D144"/>
    <mergeCell ref="B124:D125"/>
    <mergeCell ref="B126:D127"/>
    <mergeCell ref="B130:D131"/>
    <mergeCell ref="E124:E125"/>
    <mergeCell ref="E126:E127"/>
    <mergeCell ref="B132:D133"/>
    <mergeCell ref="B141:D142"/>
    <mergeCell ref="E132:E133"/>
    <mergeCell ref="B134:D135"/>
    <mergeCell ref="B128:D129"/>
    <mergeCell ref="B136:D137"/>
    <mergeCell ref="O31:O34"/>
    <mergeCell ref="E116:E117"/>
    <mergeCell ref="F116:F117"/>
    <mergeCell ref="F118:F119"/>
    <mergeCell ref="E118:E119"/>
    <mergeCell ref="F126:F127"/>
    <mergeCell ref="B116:D117"/>
    <mergeCell ref="F120:F121"/>
    <mergeCell ref="B118:D119"/>
    <mergeCell ref="B72:C72"/>
    <mergeCell ref="E122:E123"/>
    <mergeCell ref="F122:F123"/>
    <mergeCell ref="E120:E121"/>
    <mergeCell ref="B70:C70"/>
    <mergeCell ref="F124:F125"/>
    <mergeCell ref="F145:F146"/>
    <mergeCell ref="E145:E146"/>
    <mergeCell ref="F130:F131"/>
    <mergeCell ref="E130:E131"/>
    <mergeCell ref="F128:F129"/>
    <mergeCell ref="E128:E129"/>
    <mergeCell ref="F143:F144"/>
    <mergeCell ref="F141:F142"/>
    <mergeCell ref="F132:F133"/>
    <mergeCell ref="E136:E137"/>
    <mergeCell ref="F136:F137"/>
    <mergeCell ref="F134:F135"/>
    <mergeCell ref="E141:E142"/>
    <mergeCell ref="E134:E135"/>
  </mergeCells>
  <phoneticPr fontId="23" type="noConversion"/>
  <conditionalFormatting sqref="B34 B32 E32:H32 G33:N33">
    <cfRule type="expression" dxfId="41" priority="5" stopIfTrue="1">
      <formula>+AND(B31&gt;=#REF!,B31&lt;=#REF!)</formula>
    </cfRule>
  </conditionalFormatting>
  <conditionalFormatting sqref="E34:N34">
    <cfRule type="expression" dxfId="40" priority="6" stopIfTrue="1">
      <formula>+AND(E32&gt;=#REF!,E32&lt;=#REF!)</formula>
    </cfRule>
  </conditionalFormatting>
  <conditionalFormatting sqref="C30:N30 C93:N93">
    <cfRule type="cellIs" dxfId="39" priority="9" stopIfTrue="1" operator="equal">
      <formula>$C$16</formula>
    </cfRule>
  </conditionalFormatting>
  <conditionalFormatting sqref="C12:D12">
    <cfRule type="cellIs" dxfId="38" priority="11" stopIfTrue="1" operator="equal">
      <formula>"C"</formula>
    </cfRule>
    <cfRule type="cellIs" dxfId="37" priority="12" stopIfTrue="1" operator="equal">
      <formula>"B2"</formula>
    </cfRule>
    <cfRule type="cellIs" dxfId="36" priority="13" stopIfTrue="1" operator="equal">
      <formula>"B1"</formula>
    </cfRule>
  </conditionalFormatting>
  <conditionalFormatting sqref="H140:S140 H115:S115">
    <cfRule type="cellIs" dxfId="35" priority="20" stopIfTrue="1" operator="equal">
      <formula>$C$16</formula>
    </cfRule>
  </conditionalFormatting>
  <conditionalFormatting sqref="C34">
    <cfRule type="expression" dxfId="34" priority="3" stopIfTrue="1">
      <formula>+AND(C32&gt;=#REF!,C32&lt;=#REF!)</formula>
    </cfRule>
  </conditionalFormatting>
  <conditionalFormatting sqref="D34">
    <cfRule type="expression" dxfId="33" priority="1" stopIfTrue="1">
      <formula>+AND(D32&gt;=#REF!,D32&lt;=#REF!)</formula>
    </cfRule>
  </conditionalFormatting>
  <dataValidations count="9">
    <dataValidation type="list" allowBlank="1" showInputMessage="1" showErrorMessage="1" sqref="B107 G6" xr:uid="{00000000-0002-0000-0200-000000000000}">
      <formula1>Component</formula1>
    </dataValidation>
    <dataValidation type="list" allowBlank="1" showInputMessage="1" showErrorMessage="1" sqref="C16" xr:uid="{00000000-0002-0000-0200-000001000000}">
      <formula1>PERIOD</formula1>
    </dataValidation>
    <dataValidation type="list" allowBlank="1" showInputMessage="1" showErrorMessage="1" sqref="G10:J10" xr:uid="{00000000-0002-0000-0200-000002000000}">
      <formula1>LFA</formula1>
    </dataValidation>
    <dataValidation type="list" allowBlank="1" showInputMessage="1" showErrorMessage="1" sqref="C4:D4" xr:uid="{00000000-0002-0000-0200-000003000000}">
      <formula1>Countries</formula1>
    </dataValidation>
    <dataValidation type="list" allowBlank="1" showInputMessage="1" showErrorMessage="1" sqref="C12:D12" xr:uid="{00000000-0002-0000-0200-000004000000}">
      <formula1>Rating</formula1>
    </dataValidation>
    <dataValidation type="list" allowBlank="1" showInputMessage="1" showErrorMessage="1" sqref="I8:J8" xr:uid="{00000000-0002-0000-0200-000005000000}">
      <formula1>Phase</formula1>
    </dataValidation>
    <dataValidation type="list" allowBlank="1" showInputMessage="1" showErrorMessage="1" sqref="G8" xr:uid="{00000000-0002-0000-0200-000006000000}">
      <formula1>Round</formula1>
    </dataValidation>
    <dataValidation type="list" allowBlank="1" showInputMessage="1" showErrorMessage="1" sqref="D26" xr:uid="{00000000-0002-0000-0200-000007000000}">
      <formula1>Currency</formula1>
    </dataValidation>
    <dataValidation type="list" allowBlank="1" showInputMessage="1" showErrorMessage="1" sqref="C107:C110" xr:uid="{00000000-0002-0000-0200-000008000000}">
      <formula1>Medicaments</formula1>
    </dataValidation>
  </dataValidations>
  <pageMargins left="0.70866141732283472" right="0.70866141732283472" top="0.74803149606299213" bottom="0.74803149606299213" header="0.31496062992125984" footer="0.31496062992125984"/>
  <pageSetup paperSize="9" scale="18" orientation="landscape" r:id="rId1"/>
  <headerFooter>
    <oddFooter>&amp;L&amp;F&amp;C&amp;A&amp;RV1.0          &amp;D</oddFooter>
  </headerFooter>
  <rowBreaks count="2" manualBreakCount="2">
    <brk id="47" max="16383" man="1"/>
    <brk id="103" max="14" man="1"/>
  </rowBreaks>
  <ignoredErrors>
    <ignoredError sqref="H140:S140 E141"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1"/>
    <pageSetUpPr fitToPage="1"/>
  </sheetPr>
  <dimension ref="A1:X18"/>
  <sheetViews>
    <sheetView showGridLines="0" zoomScale="110" zoomScaleNormal="110" zoomScaleSheetLayoutView="100" workbookViewId="0">
      <selection activeCell="E29" sqref="E29"/>
    </sheetView>
  </sheetViews>
  <sheetFormatPr defaultColWidth="11.42578125" defaultRowHeight="15"/>
  <cols>
    <col min="1" max="1" width="22.5703125" style="3" customWidth="1"/>
    <col min="2" max="2" width="12.5703125" style="3" customWidth="1"/>
    <col min="3" max="3" width="20.5703125" style="3" customWidth="1"/>
    <col min="4" max="4" width="21.57031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15"/>
      <c r="H1" s="2"/>
      <c r="I1" s="2"/>
      <c r="J1" s="2"/>
    </row>
    <row r="2" spans="1:24" ht="25.5" customHeight="1"/>
    <row r="3" spans="1:24" ht="36">
      <c r="B3" s="759" t="str">
        <f>+"Tabel Programatic de Evaluare: "&amp;" "&amp;+IF('Introducerea datelor'!C4="Please Select","",'Introducerea datelor'!C4&amp;" - ")&amp;+IF('Introducerea datelor'!G6="Please Select","",'Introducerea datelor'!G6)</f>
        <v>Tabel Programatic de Evaluare:  Moldova - TB</v>
      </c>
      <c r="C3" s="759"/>
      <c r="D3" s="759"/>
      <c r="E3" s="759"/>
      <c r="F3" s="759"/>
      <c r="G3" s="759"/>
      <c r="H3" s="759"/>
      <c r="I3" s="759"/>
      <c r="J3" s="759"/>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11" t="s">
        <v>283</v>
      </c>
      <c r="B6" s="760" t="str">
        <f>+IF('Introducerea datelor'!C4="Please Select","",'Introducerea datelor'!C4)</f>
        <v>Moldova</v>
      </c>
      <c r="C6" s="760"/>
      <c r="D6" s="763" t="s">
        <v>287</v>
      </c>
      <c r="E6" s="763"/>
      <c r="F6" s="764" t="str">
        <f>+'Introducerea datelor'!G4</f>
        <v>Consolidarea controlului Tuberculozei în Republica Moldova</v>
      </c>
      <c r="G6" s="764"/>
      <c r="H6" s="764"/>
      <c r="I6" s="764"/>
      <c r="J6" s="764"/>
      <c r="K6" s="49"/>
      <c r="L6" s="81"/>
      <c r="M6" s="49"/>
      <c r="N6" s="49"/>
      <c r="O6" s="49"/>
      <c r="P6" s="50"/>
      <c r="Q6" s="17"/>
      <c r="R6" s="17"/>
      <c r="S6" s="17"/>
      <c r="T6" s="17"/>
      <c r="U6" s="17"/>
    </row>
    <row r="7" spans="1:24" ht="8.25" customHeight="1">
      <c r="B7" s="6"/>
      <c r="C7" s="7"/>
      <c r="D7" s="7"/>
      <c r="E7" s="8"/>
      <c r="F7" s="8"/>
      <c r="G7" s="9"/>
      <c r="H7" s="9"/>
      <c r="K7" s="49"/>
      <c r="L7" s="49"/>
      <c r="M7" s="49"/>
      <c r="N7" s="49"/>
      <c r="O7" s="49"/>
      <c r="P7" s="50"/>
      <c r="Q7" s="17"/>
      <c r="R7" s="17"/>
      <c r="S7" s="17"/>
      <c r="T7" s="17"/>
      <c r="U7" s="17"/>
    </row>
    <row r="8" spans="1:24" ht="3.75" customHeight="1">
      <c r="C8" s="10"/>
      <c r="D8" s="10"/>
      <c r="E8" s="10"/>
      <c r="F8" s="10"/>
      <c r="G8" s="10"/>
      <c r="H8" s="10"/>
      <c r="I8" s="10"/>
      <c r="J8" s="10"/>
      <c r="K8" s="49"/>
      <c r="L8" s="49"/>
      <c r="M8" s="49"/>
      <c r="N8" s="49"/>
      <c r="O8" s="51"/>
      <c r="P8" s="50"/>
      <c r="Q8" s="51"/>
      <c r="R8" s="52"/>
      <c r="S8" s="17"/>
      <c r="T8" s="17"/>
      <c r="U8" s="17"/>
    </row>
    <row r="9" spans="1:24" ht="25.5" customHeight="1">
      <c r="A9" s="290" t="s">
        <v>288</v>
      </c>
      <c r="B9" s="270" t="str">
        <f>+IF('Introducerea datelor'!G6="Please Select","",'Introducerea datelor'!G6)</f>
        <v>TB</v>
      </c>
      <c r="C9" s="184" t="s">
        <v>248</v>
      </c>
      <c r="D9" s="271" t="str">
        <f>+'Introducerea datelor'!C6</f>
        <v>MDA-T-PCIMU (#678)</v>
      </c>
      <c r="E9" s="762" t="s">
        <v>374</v>
      </c>
      <c r="F9" s="762"/>
      <c r="G9" s="370">
        <f>+IF(ISBLANK('Introducerea datelor'!C10),"",'Introducerea datelor'!C10)</f>
        <v>42186</v>
      </c>
      <c r="H9" s="290" t="s">
        <v>289</v>
      </c>
      <c r="I9" s="761">
        <f>+IF(ISBLANK('Introducerea datelor'!I6),"",'Introducerea datelor'!I6)</f>
        <v>7957826</v>
      </c>
      <c r="J9" s="761"/>
      <c r="K9" s="49"/>
      <c r="L9" s="49"/>
      <c r="M9" s="49"/>
      <c r="N9" s="49"/>
      <c r="O9" s="51"/>
      <c r="P9" s="50"/>
      <c r="Q9" s="51"/>
      <c r="R9" s="52"/>
      <c r="S9" s="17"/>
      <c r="T9" s="11"/>
      <c r="U9" s="11"/>
      <c r="V9" s="10"/>
      <c r="W9" s="10"/>
      <c r="X9" s="10"/>
    </row>
    <row r="10" spans="1:24" ht="25.5" customHeight="1">
      <c r="A10" s="290" t="s">
        <v>290</v>
      </c>
      <c r="B10" s="272" t="str">
        <f>+IF('Introducerea datelor'!G8="Please Select","",'Introducerea datelor'!G8)</f>
        <v/>
      </c>
      <c r="C10" s="184" t="s">
        <v>291</v>
      </c>
      <c r="D10" s="273" t="str">
        <f>+IF('Introducerea datelor'!I8="Please Select","",'Introducerea datelor'!I8)</f>
        <v>Period 1</v>
      </c>
      <c r="E10" s="754" t="s">
        <v>375</v>
      </c>
      <c r="F10" s="754"/>
      <c r="G10" s="753" t="str">
        <f>+'Introducerea datelor'!C8</f>
        <v>IP UCIMP DS</v>
      </c>
      <c r="H10" s="753"/>
      <c r="I10" s="753"/>
      <c r="J10" s="753"/>
      <c r="K10" s="53"/>
      <c r="L10" s="53"/>
      <c r="M10" s="49"/>
      <c r="N10" s="53"/>
      <c r="O10" s="51"/>
      <c r="P10" s="50"/>
      <c r="Q10" s="11"/>
      <c r="R10" s="52"/>
      <c r="S10" s="17"/>
      <c r="T10" s="11"/>
      <c r="U10" s="11"/>
    </row>
    <row r="11" spans="1:24" ht="25.5" customHeight="1">
      <c r="A11" s="290" t="s">
        <v>294</v>
      </c>
      <c r="B11" s="274" t="str">
        <f>+'Introducerea datelor'!C16</f>
        <v>P5</v>
      </c>
      <c r="C11" s="258" t="s">
        <v>295</v>
      </c>
      <c r="D11" s="371">
        <f>+IF(ISBLANK('Introducerea datelor'!E16),"",'Introducerea datelor'!E16)</f>
        <v>42917</v>
      </c>
      <c r="E11" s="762" t="s">
        <v>296</v>
      </c>
      <c r="F11" s="762"/>
      <c r="G11" s="371">
        <f>+IF(ISBLANK('Introducerea datelor'!G16),"",'Introducerea datelor'!G16)</f>
        <v>43100</v>
      </c>
      <c r="H11" s="290" t="s">
        <v>286</v>
      </c>
      <c r="I11" s="755" t="str">
        <f>+IF('Introducerea datelor'!C12="Please Select","",'Introducerea datelor'!C12)</f>
        <v>A2</v>
      </c>
      <c r="J11" s="755"/>
      <c r="K11" s="214"/>
      <c r="L11" s="53"/>
      <c r="M11" s="49"/>
      <c r="N11" s="53"/>
      <c r="O11" s="53"/>
      <c r="P11" s="50"/>
      <c r="Q11" s="11"/>
      <c r="R11" s="52"/>
      <c r="S11" s="17"/>
      <c r="T11" s="12"/>
      <c r="U11" s="11"/>
    </row>
    <row r="12" spans="1:24" ht="25.5" customHeight="1">
      <c r="A12" s="290" t="s">
        <v>292</v>
      </c>
      <c r="B12" s="753" t="str">
        <f>+IF('Introducerea datelor'!G10="Please Select","",'Introducerea datelor'!G10)</f>
        <v>PwC (PricewaterhouseCoopers)</v>
      </c>
      <c r="C12" s="753"/>
      <c r="D12" s="753"/>
      <c r="E12" s="754" t="s">
        <v>233</v>
      </c>
      <c r="F12" s="754"/>
      <c r="G12" s="753" t="str">
        <f>+'Introducerea datelor'!G12</f>
        <v>Tsovinar Sakanyan</v>
      </c>
      <c r="H12" s="753"/>
      <c r="I12" s="753"/>
      <c r="J12" s="753"/>
      <c r="K12" s="53"/>
      <c r="L12" s="53"/>
      <c r="M12" s="49"/>
      <c r="N12" s="53"/>
      <c r="O12" s="17"/>
      <c r="P12" s="50"/>
      <c r="Q12" s="11"/>
      <c r="R12" s="52"/>
      <c r="S12" s="17"/>
      <c r="T12" s="11"/>
      <c r="U12" s="54"/>
      <c r="V12" s="11"/>
      <c r="W12" s="12"/>
      <c r="X12" s="11"/>
    </row>
    <row r="13" spans="1:24" ht="30.75" customHeight="1">
      <c r="A13" s="290" t="s">
        <v>376</v>
      </c>
      <c r="B13" s="753" t="str">
        <f>+'Introducerea datelor'!D18</f>
        <v>IP UCIMP DS</v>
      </c>
      <c r="C13" s="753"/>
      <c r="D13" s="753"/>
      <c r="E13" s="756" t="s">
        <v>377</v>
      </c>
      <c r="F13" s="756"/>
      <c r="G13" s="757">
        <f>+IF(ISBLANK('Introducerea datelor'!J16),"",'Introducerea datelor'!J16)</f>
        <v>43238</v>
      </c>
      <c r="H13" s="758"/>
      <c r="I13" s="758"/>
      <c r="J13" s="758"/>
      <c r="K13" s="17"/>
      <c r="L13" s="18"/>
      <c r="M13" s="18"/>
      <c r="N13" s="18"/>
      <c r="O13" s="17"/>
      <c r="P13" s="18"/>
      <c r="Q13" s="18"/>
      <c r="R13" s="52"/>
      <c r="S13" s="17"/>
      <c r="T13" s="18"/>
      <c r="U13" s="55"/>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192"/>
      <c r="D16" s="16"/>
      <c r="E16" s="291"/>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link="1"/>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23"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xr:uid="{00000000-0002-0000-0300-000000000000}">
      <formula1>$K$8:$K$9</formula1>
    </dataValidation>
  </dataValidations>
  <pageMargins left="0.70866141732283472" right="0.70866141732283472" top="0.74803149606299213" bottom="0.74803149606299213" header="0.31496062992125984" footer="0.31496062992125984"/>
  <pageSetup paperSize="9" scale="88" fitToHeight="0"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41"/>
    <pageSetUpPr fitToPage="1"/>
  </sheetPr>
  <dimension ref="A1:P35"/>
  <sheetViews>
    <sheetView showGridLines="0" zoomScale="130" zoomScaleNormal="130" zoomScaleSheetLayoutView="100" workbookViewId="0">
      <selection activeCell="O16" sqref="O16"/>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190"/>
      <c r="E1" s="191"/>
    </row>
    <row r="2" spans="1:16" ht="27.75" customHeight="1">
      <c r="B2" s="765" t="str">
        <f>+"Tabel Programatic de Evaluare:  "&amp;"  "&amp;IF(+'Introducerea datelor'!C4="Please Select","",'Introducerea datelor'!C4&amp;" - ")&amp;IF('Introducerea datelor'!G6="Please Select","",'Introducerea datelor'!G6)</f>
        <v>Tabel Programatic de Evaluare:    Moldova - TB</v>
      </c>
      <c r="C2" s="765"/>
      <c r="D2" s="765"/>
      <c r="E2" s="765"/>
      <c r="F2" s="765"/>
      <c r="G2" s="765"/>
      <c r="H2" s="765"/>
      <c r="I2" s="765"/>
      <c r="J2" s="765"/>
      <c r="K2" s="765"/>
      <c r="L2" s="765"/>
      <c r="M2" s="25"/>
      <c r="N2" s="25"/>
      <c r="O2" s="25"/>
      <c r="P2" s="25"/>
    </row>
    <row r="3" spans="1:16">
      <c r="B3" s="23" t="str">
        <f>+IF('Introducerea datelor'!G8="Please Select","",'Introducerea datelor'!G8)</f>
        <v/>
      </c>
      <c r="C3" s="770" t="str">
        <f>+IF('Introducerea datelor'!I8="Please Select","",'Introducerea datelor'!I8)</f>
        <v>Period 1</v>
      </c>
      <c r="D3" s="770"/>
      <c r="E3" s="768"/>
      <c r="F3" s="768"/>
      <c r="G3" s="768"/>
      <c r="H3" s="768"/>
      <c r="I3" s="768"/>
      <c r="J3" s="769" t="str">
        <f>+'Introducerea datelor'!B16</f>
        <v>Perioada de Raportare:</v>
      </c>
      <c r="K3" s="769"/>
      <c r="L3" s="159" t="str">
        <f>+'Introducerea datelor'!C16</f>
        <v>P5</v>
      </c>
    </row>
    <row r="4" spans="1:16">
      <c r="B4" s="23" t="str">
        <f>+'Introducerea datelor'!B12</f>
        <v>Ultimul Rating:</v>
      </c>
      <c r="C4" s="766" t="str">
        <f>+IF('Introducerea datelor'!C12="Please Select","",'Introducerea datelor'!C12)</f>
        <v>A2</v>
      </c>
      <c r="D4" s="766"/>
      <c r="E4" s="768" t="str">
        <f>+'Introducerea datelor'!C8</f>
        <v>IP UCIMP DS</v>
      </c>
      <c r="F4" s="768"/>
      <c r="G4" s="768"/>
      <c r="H4" s="768"/>
      <c r="I4" s="768"/>
      <c r="J4" s="769" t="str">
        <f>+'Introducerea datelor'!D16</f>
        <v>De la:</v>
      </c>
      <c r="K4" s="771"/>
      <c r="L4" s="399">
        <f>+IF(ISBLANK('Introducerea datelor'!E16),"",'Introducerea datelor'!E16)</f>
        <v>42917</v>
      </c>
    </row>
    <row r="5" spans="1:16" ht="18.75" customHeight="1">
      <c r="B5" s="23"/>
      <c r="C5" s="23"/>
      <c r="D5" s="768" t="str">
        <f>+'Introducerea datelor'!G4</f>
        <v>Consolidarea controlului Tuberculozei în Republica Moldova</v>
      </c>
      <c r="E5" s="768"/>
      <c r="F5" s="768"/>
      <c r="G5" s="768"/>
      <c r="H5" s="768"/>
      <c r="I5" s="768"/>
      <c r="J5" s="768"/>
      <c r="K5" s="23" t="str">
        <f>+'Introducerea datelor'!F16</f>
        <v>Pînă la:</v>
      </c>
      <c r="L5" s="399">
        <f>+IF(ISBLANK('Introducerea datelor'!G16),"",'Introducerea datelor'!G16)</f>
        <v>43100</v>
      </c>
    </row>
    <row r="6" spans="1:16" ht="18.75">
      <c r="B6" s="22"/>
      <c r="C6" s="23"/>
      <c r="D6" s="24"/>
      <c r="E6" s="767" t="s">
        <v>382</v>
      </c>
      <c r="F6" s="767"/>
      <c r="G6" s="767"/>
      <c r="H6" s="767"/>
      <c r="I6" s="767"/>
    </row>
    <row r="7" spans="1:16" ht="26.25" customHeight="1">
      <c r="B7" s="772" t="str">
        <f>+'Introducerea datelor'!B68&amp;"                "&amp;+J3&amp;" "&amp;+L3</f>
        <v>M1: Statutul Condițiilor Precedente și a Acțiunilor Prestabilite în Timp                 Perioada de Raportare: P5</v>
      </c>
      <c r="C7" s="773"/>
      <c r="D7" s="773"/>
      <c r="E7" s="773"/>
      <c r="F7" s="773"/>
      <c r="H7" s="772" t="str">
        <f>+'Introducerea datelor'!B75&amp;"                                                                             "&amp;+J3&amp;"  "&amp;+L3</f>
        <v>M2: Statutul pozițiilor cheie a RP                                                                              Perioada de Raportare:  P5</v>
      </c>
      <c r="I7" s="773"/>
      <c r="J7" s="773"/>
      <c r="K7" s="773"/>
      <c r="L7" s="773"/>
    </row>
    <row r="8" spans="1:16" ht="33" customHeight="1">
      <c r="B8" s="277" t="s">
        <v>381</v>
      </c>
      <c r="C8" s="774" t="s">
        <v>494</v>
      </c>
      <c r="D8" s="777"/>
      <c r="E8" s="777"/>
      <c r="F8" s="778"/>
      <c r="G8" s="445"/>
      <c r="H8" s="277" t="s">
        <v>381</v>
      </c>
      <c r="I8" s="774" t="s">
        <v>472</v>
      </c>
      <c r="J8" s="775"/>
      <c r="K8" s="775"/>
      <c r="L8" s="776"/>
    </row>
    <row r="9" spans="1:16" ht="22.5" customHeight="1">
      <c r="B9" s="19"/>
      <c r="C9" s="19"/>
      <c r="D9" s="19"/>
      <c r="E9" s="19"/>
      <c r="F9" s="19"/>
      <c r="G9" s="19"/>
      <c r="H9" s="19"/>
    </row>
    <row r="10" spans="1:16" ht="21" customHeight="1">
      <c r="A10" s="46"/>
      <c r="B10" s="19"/>
      <c r="C10" s="19"/>
      <c r="D10" s="779"/>
      <c r="E10" s="567"/>
      <c r="F10" s="567"/>
      <c r="G10" s="167"/>
      <c r="H10" s="19"/>
      <c r="N10" s="48"/>
      <c r="O10" s="48"/>
      <c r="P10" s="47"/>
    </row>
    <row r="11" spans="1:16">
      <c r="B11" s="19"/>
      <c r="C11" s="27"/>
      <c r="D11" s="779"/>
      <c r="E11" s="27"/>
      <c r="F11" s="27"/>
      <c r="G11" s="27"/>
      <c r="H11" s="27"/>
      <c r="N11" s="19"/>
      <c r="O11" s="19"/>
    </row>
    <row r="12" spans="1:16">
      <c r="B12" s="27"/>
      <c r="C12" s="78"/>
      <c r="D12" s="79"/>
      <c r="E12" s="79"/>
      <c r="F12" s="79"/>
      <c r="G12" s="79"/>
      <c r="H12" s="80"/>
      <c r="N12" s="475"/>
    </row>
    <row r="13" spans="1:16">
      <c r="B13" s="27"/>
      <c r="C13" s="78"/>
      <c r="D13" s="79"/>
      <c r="E13" s="79"/>
      <c r="F13" s="79"/>
      <c r="G13" s="79"/>
      <c r="H13" s="80"/>
    </row>
    <row r="14" spans="1:16" ht="27" customHeight="1"/>
    <row r="15" spans="1:16" ht="35.25" customHeight="1">
      <c r="B15" s="772" t="str">
        <f>+'Introducerea datelor'!B80&amp;"                                                                                                 "&amp;+J3&amp;" "&amp;+L3</f>
        <v>M3: Aranjamente contractuale (SR)                                                                                                  Perioada de Raportare: P5</v>
      </c>
      <c r="C15" s="773"/>
      <c r="D15" s="773"/>
      <c r="E15" s="773"/>
      <c r="F15" s="773"/>
      <c r="G15" s="773"/>
      <c r="H15" s="772" t="str">
        <f>+'Introducerea datelor'!B85&amp;"                        "&amp;+J3&amp;" "&amp;+L3</f>
        <v>M4: Numărul rapoartelor complete recepționate la timp                        Perioada de Raportare: P5</v>
      </c>
      <c r="I15" s="773"/>
      <c r="J15" s="773"/>
      <c r="K15" s="773"/>
      <c r="L15" s="773"/>
    </row>
    <row r="16" spans="1:16" ht="79.5" customHeight="1">
      <c r="B16" s="277" t="s">
        <v>381</v>
      </c>
      <c r="C16" s="774" t="s">
        <v>473</v>
      </c>
      <c r="D16" s="775"/>
      <c r="E16" s="775"/>
      <c r="F16" s="776"/>
      <c r="G16" s="445"/>
      <c r="H16" s="277" t="s">
        <v>381</v>
      </c>
      <c r="I16" s="774" t="s">
        <v>495</v>
      </c>
      <c r="J16" s="777"/>
      <c r="K16" s="777"/>
      <c r="L16" s="778"/>
    </row>
    <row r="17" spans="2:13">
      <c r="B17" s="28"/>
      <c r="H17" s="29"/>
    </row>
    <row r="18" spans="2:13">
      <c r="M18" s="82"/>
    </row>
    <row r="26" spans="2:13" ht="40.5" customHeight="1">
      <c r="B26" s="780" t="str">
        <f>+'Introducerea datelor'!B91</f>
        <v xml:space="preserve">M5: Bugetul și Procurarea produselor medicale, echipamentului medical, medicamentelor și produselor farmaceutice </v>
      </c>
      <c r="C26" s="781"/>
      <c r="D26" s="781"/>
      <c r="E26" s="781"/>
      <c r="F26" s="781"/>
      <c r="H26" s="772" t="str">
        <f>+'Introducerea datelor'!B104&amp;"                                                                "&amp;+J3&amp;"  "&amp;+L3</f>
        <v>M6: Diferență între stocul curent și stocul de siguranță                                                                Perioada de Raportare:  P5</v>
      </c>
      <c r="I26" s="773"/>
      <c r="J26" s="773"/>
      <c r="K26" s="773"/>
      <c r="L26" s="773"/>
    </row>
    <row r="27" spans="2:13" ht="51" customHeight="1">
      <c r="B27" s="277" t="s">
        <v>381</v>
      </c>
      <c r="C27" s="774" t="s">
        <v>490</v>
      </c>
      <c r="D27" s="775"/>
      <c r="E27" s="775"/>
      <c r="F27" s="776"/>
      <c r="G27" s="445"/>
      <c r="H27" s="277" t="s">
        <v>1</v>
      </c>
      <c r="I27" s="774" t="s">
        <v>478</v>
      </c>
      <c r="J27" s="777"/>
      <c r="K27" s="777"/>
      <c r="L27" s="778"/>
    </row>
    <row r="28" spans="2:13" ht="15.75" thickBot="1"/>
    <row r="29" spans="2:13" ht="59.25" customHeight="1">
      <c r="F29" s="262"/>
      <c r="G29" s="262"/>
      <c r="H29" s="357" t="s">
        <v>356</v>
      </c>
      <c r="I29" s="356" t="s">
        <v>383</v>
      </c>
      <c r="J29" s="276" t="s">
        <v>385</v>
      </c>
      <c r="K29" s="178" t="s">
        <v>386</v>
      </c>
      <c r="L29" s="259" t="s">
        <v>387</v>
      </c>
    </row>
    <row r="30" spans="2:13" ht="15" customHeight="1">
      <c r="F30" s="262"/>
      <c r="G30" s="262"/>
      <c r="H30" s="783" t="str">
        <f>+'Introducerea datelor'!B107</f>
        <v>Please Select</v>
      </c>
      <c r="I30" s="260" t="str">
        <f>+'Introducerea datelor'!C107</f>
        <v>Please Select</v>
      </c>
      <c r="J30" s="324" t="str">
        <f>+'Introducerea datelor'!I107</f>
        <v/>
      </c>
      <c r="K30" s="325">
        <f>+'Introducerea datelor'!J107</f>
        <v>0</v>
      </c>
      <c r="L30" s="509" t="str">
        <f>+'Introducerea datelor'!K107</f>
        <v/>
      </c>
    </row>
    <row r="31" spans="2:13">
      <c r="F31" s="262"/>
      <c r="G31" s="262"/>
      <c r="H31" s="784"/>
      <c r="I31" s="260" t="str">
        <f>+'Introducerea datelor'!C108</f>
        <v>Please Select</v>
      </c>
      <c r="J31" s="324" t="str">
        <f>+'Introducerea datelor'!I108</f>
        <v/>
      </c>
      <c r="K31" s="325">
        <f>+'Introducerea datelor'!J108</f>
        <v>0</v>
      </c>
      <c r="L31" s="510" t="str">
        <f>+'Introducerea datelor'!K108</f>
        <v/>
      </c>
    </row>
    <row r="32" spans="2:13">
      <c r="F32" s="262"/>
      <c r="G32" s="262"/>
      <c r="H32" s="784"/>
      <c r="I32" s="260" t="str">
        <f>+'Introducerea datelor'!C109</f>
        <v>Please Select</v>
      </c>
      <c r="J32" s="324" t="str">
        <f>+'Introducerea datelor'!I109</f>
        <v/>
      </c>
      <c r="K32" s="325">
        <f>+'Introducerea datelor'!J109</f>
        <v>0</v>
      </c>
      <c r="L32" s="509" t="str">
        <f>+'Introducerea datelor'!K109</f>
        <v/>
      </c>
    </row>
    <row r="33" spans="2:12" ht="15.75" thickBot="1">
      <c r="F33" s="262"/>
      <c r="G33" s="262"/>
      <c r="H33" s="785"/>
      <c r="I33" s="261" t="str">
        <f>+'Introducerea datelor'!C110</f>
        <v>Please Select</v>
      </c>
      <c r="J33" s="326" t="str">
        <f>+'Introducerea datelor'!I110</f>
        <v/>
      </c>
      <c r="K33" s="327">
        <f>+'Introducerea datelor'!J110</f>
        <v>0</v>
      </c>
      <c r="L33" s="509" t="str">
        <f>+'Introducerea datelor'!K110</f>
        <v/>
      </c>
    </row>
    <row r="34" spans="2:12" ht="22.5" customHeight="1">
      <c r="B34" s="782" t="str">
        <f>+'Introducerea datelor'!B101</f>
        <v>* Include numai AFR categoriile 4,5 și 6  (Produse medicale și Echipamente medicale &amp; Medicamente și Produse farmaceutice)</v>
      </c>
      <c r="C34" s="782"/>
      <c r="D34" s="782"/>
      <c r="E34" s="782"/>
      <c r="F34" s="19"/>
      <c r="G34" s="19"/>
      <c r="H34" s="175"/>
      <c r="I34" s="176"/>
      <c r="J34" s="177"/>
      <c r="K34" s="167"/>
      <c r="L34" s="20"/>
    </row>
    <row r="35" spans="2:12">
      <c r="F35" s="19"/>
      <c r="G35" s="19"/>
      <c r="H35" s="19"/>
      <c r="I35" s="19"/>
      <c r="J35" s="19"/>
      <c r="K35" s="19"/>
      <c r="L35" s="19"/>
    </row>
  </sheetData>
  <mergeCells count="25">
    <mergeCell ref="B26:F26"/>
    <mergeCell ref="H26:L26"/>
    <mergeCell ref="B34:E34"/>
    <mergeCell ref="C27:F27"/>
    <mergeCell ref="I27:L27"/>
    <mergeCell ref="H30:H33"/>
    <mergeCell ref="B15:G15"/>
    <mergeCell ref="H15:L15"/>
    <mergeCell ref="I8:L8"/>
    <mergeCell ref="D5:J5"/>
    <mergeCell ref="C16:F16"/>
    <mergeCell ref="E10:F10"/>
    <mergeCell ref="C8:F8"/>
    <mergeCell ref="B7:F7"/>
    <mergeCell ref="I16:L16"/>
    <mergeCell ref="D10:D11"/>
    <mergeCell ref="H7:L7"/>
    <mergeCell ref="B2:L2"/>
    <mergeCell ref="C4:D4"/>
    <mergeCell ref="E6:I6"/>
    <mergeCell ref="E3:I3"/>
    <mergeCell ref="J3:K3"/>
    <mergeCell ref="C3:D3"/>
    <mergeCell ref="E4:I4"/>
    <mergeCell ref="J4:K4"/>
  </mergeCells>
  <phoneticPr fontId="23" type="noConversion"/>
  <conditionalFormatting sqref="D12:D13">
    <cfRule type="cellIs" dxfId="29" priority="1" stopIfTrue="1" operator="greaterThan">
      <formula>0</formula>
    </cfRule>
  </conditionalFormatting>
  <conditionalFormatting sqref="E12:E13">
    <cfRule type="cellIs" dxfId="28" priority="2" stopIfTrue="1" operator="greaterThan">
      <formula>0</formula>
    </cfRule>
  </conditionalFormatting>
  <conditionalFormatting sqref="F12:G13">
    <cfRule type="cellIs" dxfId="27" priority="3" stopIfTrue="1" operator="greaterThan">
      <formula>0</formula>
    </cfRule>
  </conditionalFormatting>
  <conditionalFormatting sqref="C4:D4">
    <cfRule type="cellIs" dxfId="26" priority="4" stopIfTrue="1" operator="equal">
      <formula>"C"</formula>
    </cfRule>
    <cfRule type="cellIs" dxfId="25" priority="5" stopIfTrue="1" operator="equal">
      <formula>"B2"</formula>
    </cfRule>
    <cfRule type="cellIs" dxfId="24" priority="6" stopIfTrue="1" operator="equal">
      <formula>"B1"</formula>
    </cfRule>
  </conditionalFormatting>
  <conditionalFormatting sqref="L30 L32:L33">
    <cfRule type="cellIs" dxfId="23" priority="13" stopIfTrue="1" operator="lessThan">
      <formula>1</formula>
    </cfRule>
    <cfRule type="cellIs" dxfId="22" priority="14" stopIfTrue="1" operator="between">
      <formula>3</formula>
      <formula>17</formula>
    </cfRule>
    <cfRule type="cellIs" dxfId="21" priority="15" stopIfTrue="1" operator="between">
      <formula>1</formula>
      <formula>3</formula>
    </cfRule>
  </conditionalFormatting>
  <conditionalFormatting sqref="L31">
    <cfRule type="cellIs" dxfId="20" priority="16" stopIfTrue="1" operator="lessThan">
      <formula>1</formula>
    </cfRule>
    <cfRule type="cellIs" dxfId="19" priority="17" stopIfTrue="1" operator="between">
      <formula>3</formula>
      <formula>100</formula>
    </cfRule>
    <cfRule type="cellIs" dxfId="18" priority="18" stopIfTrue="1" operator="between">
      <formula>1</formula>
      <formula>3</formula>
    </cfRule>
  </conditionalFormatting>
  <pageMargins left="0.70866141732283472" right="0.70866141732283472" top="0.74803149606299213" bottom="0.74803149606299213" header="0.31496062992125984" footer="0.31496062992125984"/>
  <pageSetup paperSize="256" scale="64" orientation="portrait" r:id="rId1"/>
  <headerFooter alignWithMargins="0">
    <oddFooter>&amp;L&amp;F&amp;C&amp;A&amp;RV1.0          &amp;D</oddFooter>
  </headerFooter>
  <colBreaks count="1" manualBreakCount="1">
    <brk id="12" max="3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1"/>
    <pageSetUpPr fitToPage="1"/>
  </sheetPr>
  <dimension ref="A1:O34"/>
  <sheetViews>
    <sheetView showGridLines="0" tabSelected="1" view="pageBreakPreview" topLeftCell="A22" zoomScale="115" zoomScaleNormal="100" zoomScaleSheetLayoutView="115" workbookViewId="0">
      <selection activeCell="N28" sqref="N28"/>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28.5703125" customWidth="1"/>
  </cols>
  <sheetData>
    <row r="1" spans="2:15" ht="30.75" customHeight="1">
      <c r="B1" s="3"/>
      <c r="C1" s="3"/>
      <c r="D1" s="3"/>
      <c r="E1" s="3"/>
      <c r="F1" s="3"/>
      <c r="G1" s="3"/>
      <c r="H1" s="3"/>
      <c r="I1" s="3"/>
      <c r="J1" s="3"/>
      <c r="K1" s="3"/>
    </row>
    <row r="2" spans="2:15" ht="27.75" customHeight="1">
      <c r="B2" s="786" t="str">
        <f>+"Tabel Programatic de Evaluare:  "&amp;"  "&amp;IF(+'Introducerea datelor'!C4="Please Select","",'Introducerea datelor'!C4&amp;" - ")&amp;IF('Introducerea datelor'!G6="Please Select","",'Introducerea datelor'!G6)</f>
        <v>Tabel Programatic de Evaluare:    Moldova - TB</v>
      </c>
      <c r="C2" s="786"/>
      <c r="D2" s="786"/>
      <c r="E2" s="786"/>
      <c r="F2" s="786"/>
      <c r="G2" s="786"/>
      <c r="H2" s="786"/>
      <c r="I2" s="786"/>
      <c r="J2" s="786"/>
      <c r="K2" s="786"/>
      <c r="L2" s="1"/>
      <c r="M2" s="1"/>
      <c r="N2" s="1"/>
      <c r="O2" s="1"/>
    </row>
    <row r="3" spans="2:15">
      <c r="B3" s="127" t="str">
        <f>+IF('Introducerea datelor'!G8="Please Select","",'Introducerea datelor'!G8)</f>
        <v/>
      </c>
      <c r="C3" s="791" t="str">
        <f>+IF('Introducerea datelor'!I8="Please Select","",'Introducerea datelor'!I8)</f>
        <v>Period 1</v>
      </c>
      <c r="D3" s="791"/>
      <c r="E3" s="790"/>
      <c r="F3" s="790"/>
      <c r="G3" s="790"/>
      <c r="H3" s="790"/>
      <c r="I3" s="788" t="str">
        <f>+'Introducerea datelor'!B16</f>
        <v>Perioada de Raportare:</v>
      </c>
      <c r="J3" s="788"/>
      <c r="K3" s="159" t="str">
        <f>+'Introducerea datelor'!C16</f>
        <v>P5</v>
      </c>
      <c r="L3" s="82"/>
    </row>
    <row r="4" spans="2:15">
      <c r="B4" s="127" t="str">
        <f>+'Introducerea datelor'!B12</f>
        <v>Ultimul Rating:</v>
      </c>
      <c r="C4" s="766" t="str">
        <f>+IF('Introducerea datelor'!C12="Please Select","",'Introducerea datelor'!C12)</f>
        <v>A2</v>
      </c>
      <c r="D4" s="766"/>
      <c r="E4" s="790" t="str">
        <f>+'Introducerea datelor'!C8</f>
        <v>IP UCIMP DS</v>
      </c>
      <c r="F4" s="790"/>
      <c r="G4" s="790"/>
      <c r="H4" s="790"/>
      <c r="I4" s="788" t="str">
        <f>+'Introducerea datelor'!D16</f>
        <v>De la:</v>
      </c>
      <c r="J4" s="789"/>
      <c r="K4" s="399">
        <f>+IF(ISBLANK('Introducerea datelor'!E16),"",'Introducerea datelor'!E16)</f>
        <v>42917</v>
      </c>
    </row>
    <row r="5" spans="2:15" ht="18.75" customHeight="1">
      <c r="B5" s="127"/>
      <c r="C5" s="127"/>
      <c r="D5" s="787" t="str">
        <f>+'Introducerea datelor'!G4</f>
        <v>Consolidarea controlului Tuberculozei în Republica Moldova</v>
      </c>
      <c r="E5" s="787"/>
      <c r="F5" s="787"/>
      <c r="G5" s="787"/>
      <c r="H5" s="787"/>
      <c r="I5" s="787"/>
      <c r="J5" s="127" t="str">
        <f>+'Introducerea datelor'!F16</f>
        <v>Pînă la:</v>
      </c>
      <c r="K5" s="399">
        <f>+IF(ISBLANK('Introducerea datelor'!G16),"",'Introducerea datelor'!G16)</f>
        <v>43100</v>
      </c>
    </row>
    <row r="6" spans="2:15" ht="18.75">
      <c r="B6" s="131"/>
      <c r="C6" s="127"/>
      <c r="D6" s="128"/>
      <c r="E6" s="797" t="s">
        <v>380</v>
      </c>
      <c r="F6" s="797"/>
      <c r="G6" s="797"/>
      <c r="H6" s="797"/>
      <c r="I6" s="3"/>
      <c r="J6" s="3"/>
      <c r="K6" s="284"/>
    </row>
    <row r="7" spans="2:15" ht="10.5" customHeight="1">
      <c r="B7" s="132"/>
      <c r="C7" s="133"/>
      <c r="D7" s="134"/>
      <c r="E7" s="135"/>
      <c r="F7" s="135"/>
      <c r="G7" s="136"/>
      <c r="H7" s="136"/>
      <c r="I7" s="130"/>
      <c r="J7" s="130"/>
      <c r="K7" s="129"/>
      <c r="O7" t="s">
        <v>379</v>
      </c>
    </row>
    <row r="8" spans="2:15" ht="26.25" customHeight="1">
      <c r="B8" s="800" t="str">
        <f>+'Introducerea datelor'!B27&amp; " - in ("&amp;'Introducerea datelor'!D26&amp;")  "&amp;+I3&amp;" "&amp;+K3</f>
        <v>F1: Bugetul și debursările de către Fondul Global - in (€)  Perioada de Raportare: P5</v>
      </c>
      <c r="C8" s="773"/>
      <c r="D8" s="773"/>
      <c r="E8" s="773"/>
      <c r="F8" s="773"/>
      <c r="H8" s="164" t="str">
        <f>+'Introducerea datelor'!B48&amp; " - in ("&amp;'Introducerea datelor'!D26&amp;")         "&amp;+I3&amp;" "&amp;+K3</f>
        <v>F3: Debursări și cheltuieli - in (€)         Perioada de Raportare: P5</v>
      </c>
      <c r="I8" s="3"/>
      <c r="J8" s="3"/>
      <c r="K8" s="3"/>
    </row>
    <row r="9" spans="2:15" ht="287.25" customHeight="1">
      <c r="B9" s="277" t="s">
        <v>381</v>
      </c>
      <c r="C9" s="801" t="s">
        <v>496</v>
      </c>
      <c r="D9" s="807"/>
      <c r="E9" s="807"/>
      <c r="F9" s="808"/>
      <c r="G9" s="496"/>
      <c r="H9" s="497" t="s">
        <v>381</v>
      </c>
      <c r="I9" s="801" t="s">
        <v>491</v>
      </c>
      <c r="J9" s="807"/>
      <c r="K9" s="808"/>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3">
      <c r="B17" s="2"/>
      <c r="C17" s="2"/>
      <c r="D17" s="2"/>
      <c r="E17" s="2"/>
      <c r="F17" s="2"/>
      <c r="G17" s="3"/>
      <c r="H17" s="3"/>
      <c r="I17" s="3"/>
      <c r="J17" s="3"/>
      <c r="K17" s="3"/>
    </row>
    <row r="18" spans="1:13">
      <c r="B18" s="2"/>
      <c r="C18" s="2"/>
      <c r="D18" s="2"/>
      <c r="E18" s="2"/>
      <c r="F18" s="2"/>
      <c r="G18" s="3"/>
      <c r="H18" s="3"/>
      <c r="I18" s="3"/>
      <c r="J18" s="3"/>
      <c r="K18" s="3"/>
    </row>
    <row r="19" spans="1:13">
      <c r="B19" s="2"/>
      <c r="C19" s="2"/>
      <c r="D19" s="2"/>
      <c r="E19" s="2"/>
      <c r="F19" s="2"/>
      <c r="G19" s="3"/>
      <c r="H19" s="3"/>
      <c r="I19" s="3"/>
      <c r="J19" s="3"/>
      <c r="K19" s="3"/>
    </row>
    <row r="20" spans="1:13">
      <c r="B20" s="2"/>
      <c r="C20" s="2"/>
      <c r="D20" s="2"/>
      <c r="E20" s="2"/>
      <c r="F20" s="2"/>
      <c r="G20" s="3"/>
      <c r="H20" s="3"/>
      <c r="I20" s="3"/>
      <c r="J20" s="3"/>
      <c r="K20" s="3"/>
    </row>
    <row r="21" spans="1:13">
      <c r="A21" s="19"/>
      <c r="B21" s="19"/>
      <c r="C21" s="19"/>
      <c r="D21" s="19"/>
      <c r="E21" s="19"/>
      <c r="F21" s="19"/>
      <c r="G21" s="19"/>
      <c r="H21" s="19"/>
      <c r="I21" s="19"/>
      <c r="J21" s="19"/>
      <c r="K21" s="19"/>
      <c r="M21" s="473"/>
    </row>
    <row r="22" spans="1:13" ht="24" customHeight="1">
      <c r="B22" s="796" t="str">
        <f>+'Introducerea datelor'!B36&amp; " - in ("&amp;'Introducerea datelor'!D26&amp;")  "&amp;+I3&amp;" "&amp;+K3</f>
        <v>F2: Bugetul și cheltuielile actuale după Obiectivele Grantului - in (€)  Perioada de Raportare: P5</v>
      </c>
      <c r="C22" s="550"/>
      <c r="D22" s="550"/>
      <c r="E22" s="550"/>
      <c r="F22" s="550"/>
      <c r="G22" s="351"/>
      <c r="H22" s="796" t="str">
        <f>+'Introducerea datelor'!B57&amp;"      "&amp;+I3&amp;" "&amp;+K3</f>
        <v>F4: Ultima perioadă de raportare și debursare a RP       Perioada de Raportare: P5</v>
      </c>
      <c r="I22" s="773"/>
      <c r="J22" s="773"/>
      <c r="K22" s="773"/>
    </row>
    <row r="23" spans="1:13" ht="253.5" customHeight="1">
      <c r="B23" s="277" t="s">
        <v>381</v>
      </c>
      <c r="C23" s="809" t="s">
        <v>497</v>
      </c>
      <c r="D23" s="810"/>
      <c r="E23" s="810"/>
      <c r="F23" s="811"/>
      <c r="G23" s="498"/>
      <c r="H23" s="497" t="s">
        <v>381</v>
      </c>
      <c r="I23" s="801" t="s">
        <v>477</v>
      </c>
      <c r="J23" s="802"/>
      <c r="K23" s="803"/>
    </row>
    <row r="24" spans="1:13" ht="15.75" thickBot="1">
      <c r="B24" s="173"/>
      <c r="C24" s="173"/>
      <c r="D24" s="173"/>
      <c r="E24" s="173"/>
      <c r="F24" s="173"/>
      <c r="G24" s="173"/>
      <c r="H24" s="174"/>
      <c r="I24" s="174"/>
      <c r="J24" s="173"/>
      <c r="K24" s="173"/>
    </row>
    <row r="25" spans="1:13" ht="29.25" customHeight="1" thickBot="1">
      <c r="B25" s="3"/>
      <c r="C25" s="3"/>
      <c r="D25" s="3"/>
      <c r="E25" s="3"/>
      <c r="F25" s="3"/>
      <c r="G25" s="256"/>
      <c r="H25" s="804" t="s">
        <v>423</v>
      </c>
      <c r="I25" s="805"/>
      <c r="J25" s="805"/>
      <c r="K25" s="806"/>
    </row>
    <row r="26" spans="1:13" ht="24.75">
      <c r="B26" s="3"/>
      <c r="C26" s="3"/>
      <c r="D26" s="3"/>
      <c r="E26" s="3"/>
      <c r="F26" s="3"/>
      <c r="G26" s="227"/>
      <c r="H26" s="792"/>
      <c r="I26" s="793"/>
      <c r="J26" s="240" t="s">
        <v>319</v>
      </c>
      <c r="K26" s="241" t="s">
        <v>320</v>
      </c>
    </row>
    <row r="27" spans="1:13" ht="23.25" customHeight="1">
      <c r="B27" s="3"/>
      <c r="C27" s="3"/>
      <c r="D27" s="3"/>
      <c r="E27" s="3"/>
      <c r="F27" s="3"/>
      <c r="G27" s="257"/>
      <c r="H27" s="798" t="str">
        <f>'Introducerea datelor'!B61</f>
        <v>Zile necesare pentru remiterea PU/DR final către ALF</v>
      </c>
      <c r="I27" s="799"/>
      <c r="J27" s="368">
        <v>80</v>
      </c>
      <c r="K27" s="485">
        <v>80</v>
      </c>
    </row>
    <row r="28" spans="1:13" ht="25.5" customHeight="1">
      <c r="B28" s="3"/>
      <c r="C28" s="3"/>
      <c r="D28" s="3"/>
      <c r="E28" s="3"/>
      <c r="F28" s="3"/>
      <c r="G28" s="257"/>
      <c r="H28" s="798" t="str">
        <f>'Introducerea datelor'!B62</f>
        <v>Zile necesare pentru debursare către RP</v>
      </c>
      <c r="I28" s="799"/>
      <c r="J28" s="368">
        <f>+'Introducerea datelor'!C62</f>
        <v>0</v>
      </c>
      <c r="K28" s="397">
        <f>+'Introducerea datelor'!D62</f>
        <v>0</v>
      </c>
    </row>
    <row r="29" spans="1:13" ht="24.75" customHeight="1" thickBot="1">
      <c r="B29" s="3"/>
      <c r="C29" s="3"/>
      <c r="D29" s="3"/>
      <c r="E29" s="3"/>
      <c r="F29" s="3"/>
      <c r="G29" s="257"/>
      <c r="H29" s="794" t="str">
        <f>'Introducerea datelor'!B63</f>
        <v>Zile necesare pentru debursare către SR</v>
      </c>
      <c r="I29" s="795"/>
      <c r="J29" s="369">
        <f>+'Introducerea datelor'!C63</f>
        <v>10</v>
      </c>
      <c r="K29" s="486">
        <f>+'Introducerea datelor'!D63</f>
        <v>10</v>
      </c>
    </row>
    <row r="30" spans="1:13">
      <c r="B30" s="3"/>
      <c r="C30" s="3"/>
      <c r="D30" s="3"/>
      <c r="E30" s="3"/>
      <c r="F30" s="3"/>
      <c r="G30" s="3"/>
      <c r="H30" s="3"/>
      <c r="I30" s="3"/>
      <c r="J30" s="3"/>
      <c r="K30" s="3"/>
    </row>
    <row r="31" spans="1:13">
      <c r="B31" s="3"/>
      <c r="C31" s="15"/>
      <c r="D31" s="193"/>
      <c r="E31" s="3"/>
      <c r="F31" s="3"/>
      <c r="G31" s="3"/>
      <c r="H31" s="3"/>
      <c r="I31" s="3"/>
      <c r="J31" s="3"/>
      <c r="K31" s="3"/>
    </row>
    <row r="32" spans="1:13">
      <c r="B32" s="3"/>
      <c r="C32" s="15"/>
      <c r="D32" s="193"/>
      <c r="E32" s="3"/>
      <c r="F32" s="3"/>
      <c r="G32" s="3"/>
      <c r="H32" s="3"/>
      <c r="I32" s="3"/>
      <c r="J32" s="3"/>
      <c r="K32" s="3"/>
    </row>
    <row r="34" spans="5:5">
      <c r="E34" s="19"/>
    </row>
  </sheetData>
  <mergeCells count="21">
    <mergeCell ref="H26:I26"/>
    <mergeCell ref="C4:D4"/>
    <mergeCell ref="H29:I29"/>
    <mergeCell ref="B22:F22"/>
    <mergeCell ref="H22:K22"/>
    <mergeCell ref="E6:H6"/>
    <mergeCell ref="H27:I27"/>
    <mergeCell ref="H28:I28"/>
    <mergeCell ref="B8:F8"/>
    <mergeCell ref="I23:K23"/>
    <mergeCell ref="H25:K25"/>
    <mergeCell ref="I9:K9"/>
    <mergeCell ref="C9:F9"/>
    <mergeCell ref="C23:F23"/>
    <mergeCell ref="B2:K2"/>
    <mergeCell ref="D5:I5"/>
    <mergeCell ref="I4:J4"/>
    <mergeCell ref="I3:J3"/>
    <mergeCell ref="E3:H3"/>
    <mergeCell ref="E4:H4"/>
    <mergeCell ref="C3:D3"/>
  </mergeCells>
  <phoneticPr fontId="23" type="noConversion"/>
  <conditionalFormatting sqref="K27:K29">
    <cfRule type="cellIs" dxfId="17" priority="4" stopIfTrue="1" operator="greaterThan">
      <formula>J27</formula>
    </cfRule>
    <cfRule type="cellIs" dxfId="16" priority="5" stopIfTrue="1" operator="between">
      <formula>J27</formula>
      <formula>1</formula>
    </cfRule>
    <cfRule type="cellIs" dxfId="15" priority="6" stopIfTrue="1" operator="equal">
      <formula>0</formula>
    </cfRule>
  </conditionalFormatting>
  <conditionalFormatting sqref="C4:D4">
    <cfRule type="cellIs" dxfId="14" priority="1" stopIfTrue="1" operator="equal">
      <formula>"C"</formula>
    </cfRule>
    <cfRule type="cellIs" dxfId="13" priority="2" stopIfTrue="1" operator="equal">
      <formula>"B2"</formula>
    </cfRule>
    <cfRule type="cellIs" dxfId="12" priority="3" stopIfTrue="1" operator="equal">
      <formula>"B1"</formula>
    </cfRule>
  </conditionalFormatting>
  <pageMargins left="0.70866141732283472" right="0.70866141732283472" top="0.74803149606299213" bottom="0.74803149606299213" header="0.31496062992125984" footer="0.31496062992125984"/>
  <pageSetup paperSize="256" scale="68" orientation="portrait" r:id="rId1"/>
  <headerFooter>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1"/>
    <pageSetUpPr fitToPage="1"/>
  </sheetPr>
  <dimension ref="A1:AI43"/>
  <sheetViews>
    <sheetView showGridLines="0" zoomScale="85" zoomScaleNormal="85" zoomScaleSheetLayoutView="100" workbookViewId="0">
      <selection activeCell="A26" sqref="A26:XFD26"/>
    </sheetView>
  </sheetViews>
  <sheetFormatPr defaultColWidth="11" defaultRowHeight="15"/>
  <cols>
    <col min="1" max="1" width="9" style="364" customWidth="1"/>
    <col min="2" max="2" width="11.28515625" customWidth="1"/>
    <col min="3" max="3" width="14.140625" customWidth="1"/>
    <col min="4" max="4" width="14.85546875" customWidth="1"/>
    <col min="5" max="5" width="9.5703125" style="365" customWidth="1"/>
    <col min="6" max="6" width="11.28515625" style="365" customWidth="1"/>
    <col min="7" max="9" width="6" customWidth="1"/>
    <col min="10" max="10" width="5" customWidth="1"/>
    <col min="11" max="11" width="12.42578125" customWidth="1"/>
    <col min="12" max="12" width="11.42578125" customWidth="1"/>
    <col min="13" max="13" width="5" customWidth="1"/>
    <col min="14" max="14" width="6.5703125" customWidth="1"/>
    <col min="15" max="15" width="4.140625" customWidth="1"/>
    <col min="16" max="16" width="10.7109375" customWidth="1"/>
    <col min="17" max="17" width="14.28515625" customWidth="1"/>
    <col min="18" max="18" width="6.5703125" customWidth="1"/>
  </cols>
  <sheetData>
    <row r="1" spans="1:35" ht="26.25" customHeight="1">
      <c r="A1" s="363"/>
      <c r="B1" s="3"/>
      <c r="C1" s="3"/>
      <c r="D1" s="3"/>
      <c r="E1" s="366"/>
      <c r="F1" s="366"/>
      <c r="G1" s="3"/>
      <c r="H1" s="3"/>
      <c r="I1" s="3"/>
      <c r="J1" s="3"/>
      <c r="K1" s="3"/>
      <c r="L1" s="3"/>
      <c r="M1" s="3"/>
      <c r="N1" s="3"/>
      <c r="O1" s="3"/>
      <c r="P1" s="3"/>
    </row>
    <row r="2" spans="1:35" ht="21.75" customHeight="1">
      <c r="A2" s="363"/>
      <c r="B2" s="812" t="str">
        <f>+"Tabel Programatic de Evaluare:  "&amp;"  "&amp;IF(+'Introducerea datelor'!C4="Please Select","",'Introducerea datelor'!C4&amp;" - ")&amp;IF('Introducerea datelor'!G6="Please Select","",'Introducerea datelor'!G6)</f>
        <v>Tabel Programatic de Evaluare:    Moldova - TB</v>
      </c>
      <c r="C2" s="812"/>
      <c r="D2" s="812"/>
      <c r="E2" s="812"/>
      <c r="F2" s="812"/>
      <c r="G2" s="812"/>
      <c r="H2" s="812"/>
      <c r="I2" s="812"/>
      <c r="J2" s="812"/>
      <c r="K2" s="812"/>
      <c r="L2" s="812"/>
      <c r="M2" s="812"/>
      <c r="N2" s="812"/>
      <c r="O2" s="812"/>
      <c r="P2" s="812"/>
      <c r="Q2" s="812"/>
    </row>
    <row r="3" spans="1:35" ht="18.75" customHeight="1">
      <c r="A3" s="363"/>
      <c r="B3" s="127" t="str">
        <f>+IF('Introducerea datelor'!G8="Please Select","",'Introducerea datelor'!G8)</f>
        <v/>
      </c>
      <c r="C3" s="791" t="str">
        <f>+IF('Introducerea datelor'!I8="Please Select","",'Introducerea datelor'!I8)</f>
        <v>Period 1</v>
      </c>
      <c r="D3" s="791"/>
      <c r="E3" s="790"/>
      <c r="F3" s="790"/>
      <c r="G3" s="790"/>
      <c r="H3" s="790"/>
      <c r="I3" s="814"/>
      <c r="J3" s="814"/>
      <c r="K3" s="814"/>
      <c r="L3" s="3"/>
      <c r="M3" s="3"/>
      <c r="N3" s="853" t="str">
        <f>+'Introducerea datelor'!B16</f>
        <v>Perioada de Raportare:</v>
      </c>
      <c r="O3" s="773"/>
      <c r="P3" s="773"/>
      <c r="Q3" s="160" t="str">
        <f>+'Introducerea datelor'!C16</f>
        <v>P5</v>
      </c>
    </row>
    <row r="4" spans="1:35" ht="12" customHeight="1">
      <c r="A4" s="363"/>
      <c r="B4" s="127" t="str">
        <f>+'Introducerea datelor'!B12</f>
        <v>Ultimul Rating:</v>
      </c>
      <c r="C4" s="815" t="str">
        <f>+IF('Introducerea datelor'!C12="Please Select","",'Introducerea datelor'!C12)</f>
        <v>A2</v>
      </c>
      <c r="D4" s="815"/>
      <c r="E4" s="790" t="str">
        <f>+'Introducerea datelor'!C8</f>
        <v>IP UCIMP DS</v>
      </c>
      <c r="F4" s="790"/>
      <c r="G4" s="790"/>
      <c r="H4" s="790"/>
      <c r="I4" s="790"/>
      <c r="J4" s="790"/>
      <c r="K4" s="790"/>
      <c r="L4" s="790"/>
      <c r="M4" s="3"/>
      <c r="O4" s="264"/>
      <c r="P4" s="127" t="str">
        <f>+'Introducerea datelor'!D16</f>
        <v>De la:</v>
      </c>
      <c r="Q4" s="400">
        <f>+IF(ISBLANK('Introducerea datelor'!E16),"",'Introducerea datelor'!E16)</f>
        <v>42917</v>
      </c>
      <c r="Y4" s="70"/>
      <c r="Z4" s="70"/>
      <c r="AA4" s="70"/>
      <c r="AB4" s="70"/>
      <c r="AC4" s="70"/>
    </row>
    <row r="5" spans="1:35" ht="15.75" customHeight="1">
      <c r="A5" s="363"/>
      <c r="B5" s="127"/>
      <c r="C5" s="127"/>
      <c r="D5" s="790" t="str">
        <f>+'Introducerea datelor'!G4</f>
        <v>Consolidarea controlului Tuberculozei în Republica Moldova</v>
      </c>
      <c r="E5" s="790"/>
      <c r="F5" s="790"/>
      <c r="G5" s="790"/>
      <c r="H5" s="790"/>
      <c r="I5" s="790"/>
      <c r="J5" s="790"/>
      <c r="K5" s="790"/>
      <c r="L5" s="790"/>
      <c r="M5" s="790"/>
      <c r="N5" s="790"/>
      <c r="P5" s="127" t="str">
        <f>+'Introducerea datelor'!F16</f>
        <v>Pînă la:</v>
      </c>
      <c r="Q5" s="400">
        <f>+IF(ISBLANK('Introducerea datelor'!G16),"",'Introducerea datelor'!G16)</f>
        <v>43100</v>
      </c>
      <c r="S5" s="185"/>
      <c r="T5" s="185"/>
      <c r="U5" s="185"/>
      <c r="V5" s="185"/>
      <c r="W5" s="185"/>
      <c r="X5" s="185"/>
      <c r="Y5" s="70"/>
      <c r="Z5" s="70"/>
      <c r="AA5" s="70" t="s">
        <v>23</v>
      </c>
      <c r="AB5" s="70"/>
      <c r="AC5" s="70" t="s">
        <v>214</v>
      </c>
      <c r="AD5" s="185"/>
      <c r="AE5" s="185"/>
      <c r="AF5" s="185"/>
      <c r="AG5" s="185"/>
      <c r="AH5" s="185"/>
      <c r="AI5" s="185"/>
    </row>
    <row r="6" spans="1:35" ht="15.75" customHeight="1">
      <c r="A6" s="363"/>
      <c r="B6" s="127"/>
      <c r="C6" s="127"/>
      <c r="D6" s="183"/>
      <c r="E6" s="183"/>
      <c r="F6" s="813" t="s">
        <v>393</v>
      </c>
      <c r="G6" s="813"/>
      <c r="H6" s="813"/>
      <c r="I6" s="813"/>
      <c r="J6" s="813"/>
      <c r="K6" s="813"/>
      <c r="L6" s="183"/>
      <c r="M6" s="3"/>
      <c r="N6" s="3"/>
      <c r="O6" s="162"/>
      <c r="P6" s="207"/>
      <c r="S6" s="185"/>
      <c r="T6" s="185"/>
      <c r="U6" s="185"/>
      <c r="V6" s="185"/>
      <c r="W6" s="185"/>
      <c r="X6" s="185"/>
      <c r="Y6" s="70"/>
      <c r="Z6" s="70"/>
      <c r="AA6" s="70"/>
      <c r="AB6" s="70"/>
      <c r="AC6" s="70"/>
      <c r="AD6" s="185"/>
      <c r="AE6" s="185"/>
      <c r="AF6" s="185"/>
      <c r="AG6" s="185"/>
      <c r="AH6" s="185"/>
      <c r="AI6" s="185"/>
    </row>
    <row r="7" spans="1:35" ht="3" customHeight="1">
      <c r="A7" s="363"/>
      <c r="B7" s="127"/>
      <c r="C7" s="127"/>
      <c r="D7" s="183"/>
      <c r="E7" s="183"/>
      <c r="F7" s="183"/>
      <c r="G7" s="183"/>
      <c r="H7" s="183"/>
      <c r="I7" s="183"/>
      <c r="J7" s="183"/>
      <c r="K7" s="183"/>
      <c r="L7" s="183"/>
      <c r="M7" s="3"/>
      <c r="N7" s="3"/>
      <c r="O7" s="162"/>
      <c r="P7" s="161"/>
      <c r="Q7" s="161"/>
      <c r="S7" s="185"/>
      <c r="T7" s="185"/>
      <c r="U7" s="185"/>
      <c r="V7" s="185"/>
      <c r="W7" s="185"/>
      <c r="X7" s="185"/>
      <c r="Y7" s="70"/>
      <c r="Z7" s="70"/>
      <c r="AA7" s="70"/>
      <c r="AB7" s="70"/>
      <c r="AC7" s="70"/>
      <c r="AD7" s="185"/>
      <c r="AE7" s="185"/>
      <c r="AF7" s="185"/>
      <c r="AG7" s="185"/>
      <c r="AH7" s="185"/>
      <c r="AI7" s="185"/>
    </row>
    <row r="8" spans="1:35" ht="106.5" customHeight="1">
      <c r="A8" s="363"/>
      <c r="C8" s="855" t="str">
        <f>+'Introducerea datelor'!B116</f>
        <v>Rata mortalităţii  - Numărul de decese cauzate de TB (toate formele) pe an, la 100 000 persoane</v>
      </c>
      <c r="D8" s="855"/>
      <c r="E8" s="855"/>
      <c r="F8" s="480"/>
      <c r="G8" s="855" t="str">
        <f>+'Introducerea datelor'!B118</f>
        <v xml:space="preserve">Prevalența TB MDR printre cazurile noi de tuberculoză - Numărul cazurilor noi de tuberculoză cu cultura pozitivă, testate la sensibilitate pentru preparatele de linia I, diagnosticate cu MDR, din numărul total de cazuri noi de tuberculoză cu cultura pozitivă, testate la sensibilitate pentru preparatele de linia I, pe parcursul anului </v>
      </c>
      <c r="H8" s="855"/>
      <c r="I8" s="855"/>
      <c r="J8" s="855"/>
      <c r="K8" s="855"/>
      <c r="L8" s="481"/>
      <c r="M8" s="854" t="str">
        <f>+'Introducerea datelor'!B120</f>
        <v xml:space="preserve">Rata succesului tratamentului pacienților cu TB MDR - Numărul şi procentul cazurilor de TB DR confirmate bacteriologic (RR-TB și/sau MDR-TB), tratate cu succes (vindecate și cu tratamente încheiate), din numărul total de cazuri înregistrate sub DOTS Plus într-o anumită perioadă de timp </v>
      </c>
      <c r="N8" s="854"/>
      <c r="O8" s="854"/>
      <c r="P8" s="854"/>
      <c r="Q8" s="854"/>
      <c r="S8" s="185"/>
      <c r="T8" s="185"/>
      <c r="U8" s="185"/>
      <c r="V8" s="185"/>
      <c r="W8" s="185"/>
      <c r="X8" s="185"/>
      <c r="Y8" s="70"/>
      <c r="Z8" s="70"/>
      <c r="AA8" s="70"/>
      <c r="AB8" s="70"/>
      <c r="AC8" s="70"/>
      <c r="AD8" s="185"/>
      <c r="AE8" s="185"/>
      <c r="AF8" s="185"/>
      <c r="AG8" s="185"/>
      <c r="AH8" s="185"/>
      <c r="AI8" s="185"/>
    </row>
    <row r="9" spans="1:35" ht="77.25" customHeight="1">
      <c r="A9" s="363"/>
      <c r="B9" s="482" t="s">
        <v>388</v>
      </c>
      <c r="C9" s="850" t="s">
        <v>481</v>
      </c>
      <c r="D9" s="856"/>
      <c r="E9" s="857"/>
      <c r="F9" s="483" t="s">
        <v>389</v>
      </c>
      <c r="G9" s="858" t="s">
        <v>482</v>
      </c>
      <c r="H9" s="856"/>
      <c r="I9" s="856"/>
      <c r="J9" s="856"/>
      <c r="K9" s="857"/>
      <c r="L9" s="483" t="s">
        <v>390</v>
      </c>
      <c r="M9" s="850" t="s">
        <v>483</v>
      </c>
      <c r="N9" s="851"/>
      <c r="O9" s="851"/>
      <c r="P9" s="851"/>
      <c r="Q9" s="852"/>
      <c r="S9" s="423"/>
      <c r="T9" s="185"/>
      <c r="U9" s="185"/>
      <c r="V9" s="185"/>
      <c r="W9" s="185"/>
      <c r="X9" s="185"/>
      <c r="Y9" s="185"/>
      <c r="Z9" s="185"/>
      <c r="AA9" s="185"/>
      <c r="AB9" s="185"/>
      <c r="AC9" s="185"/>
      <c r="AD9" s="185"/>
      <c r="AE9" s="185"/>
      <c r="AF9" s="185"/>
      <c r="AG9" s="185"/>
      <c r="AH9" s="185"/>
      <c r="AI9" s="185"/>
    </row>
    <row r="10" spans="1:35" ht="18.75" customHeight="1">
      <c r="A10" s="363"/>
      <c r="B10" s="127"/>
      <c r="C10" s="127"/>
      <c r="D10" s="183"/>
      <c r="E10" s="183"/>
      <c r="F10" s="183"/>
      <c r="G10" s="183"/>
      <c r="H10" s="183"/>
      <c r="I10" s="183"/>
      <c r="J10" s="183"/>
      <c r="K10" s="183"/>
      <c r="L10" s="183"/>
      <c r="M10" s="3"/>
      <c r="N10" s="3"/>
      <c r="O10" s="162"/>
      <c r="P10" s="161"/>
      <c r="S10" s="185"/>
      <c r="T10" s="185"/>
      <c r="U10" s="185"/>
      <c r="V10" s="185"/>
      <c r="W10" s="185"/>
      <c r="X10" s="185"/>
      <c r="Y10" s="185"/>
      <c r="Z10" s="185"/>
      <c r="AA10" s="185"/>
      <c r="AB10" s="185"/>
      <c r="AC10" s="185"/>
      <c r="AD10" s="185"/>
      <c r="AE10" s="185"/>
      <c r="AF10" s="185"/>
      <c r="AG10" s="185"/>
      <c r="AH10" s="185"/>
      <c r="AI10" s="185"/>
    </row>
    <row r="11" spans="1:35" ht="18.75" customHeight="1">
      <c r="A11" s="363"/>
      <c r="B11" s="127"/>
      <c r="C11" s="127"/>
      <c r="D11" s="183"/>
      <c r="E11" s="183"/>
      <c r="F11" s="183"/>
      <c r="G11" s="183"/>
      <c r="H11" s="183"/>
      <c r="I11" s="183"/>
      <c r="J11" s="183"/>
      <c r="K11" s="183"/>
      <c r="L11" s="183"/>
      <c r="M11" s="3"/>
      <c r="N11" s="3"/>
      <c r="O11" s="162"/>
      <c r="P11" s="161"/>
      <c r="S11" s="185"/>
      <c r="T11" s="185"/>
      <c r="U11" s="185"/>
      <c r="V11" s="185"/>
      <c r="W11" s="185"/>
      <c r="X11" s="185"/>
      <c r="Y11" s="185"/>
      <c r="Z11" s="185"/>
      <c r="AA11" s="185"/>
      <c r="AB11" s="185"/>
      <c r="AC11" s="185"/>
      <c r="AD11" s="185"/>
      <c r="AE11" s="185"/>
      <c r="AF11" s="185"/>
      <c r="AG11" s="185"/>
      <c r="AH11" s="185"/>
      <c r="AI11" s="185"/>
    </row>
    <row r="12" spans="1:35" ht="18.75" customHeight="1">
      <c r="A12" s="363"/>
      <c r="B12" s="127"/>
      <c r="C12" s="127"/>
      <c r="D12" s="183"/>
      <c r="E12" s="183"/>
      <c r="F12" s="183"/>
      <c r="G12" s="183"/>
      <c r="H12" s="183"/>
      <c r="I12" s="183"/>
      <c r="J12" s="183"/>
      <c r="K12" s="183"/>
      <c r="L12" s="183"/>
      <c r="M12" s="3"/>
      <c r="N12" s="3"/>
      <c r="O12" s="162"/>
      <c r="P12" s="161"/>
      <c r="S12" s="185"/>
      <c r="T12" s="185"/>
      <c r="U12" s="185"/>
      <c r="V12" s="185"/>
      <c r="W12" s="185"/>
      <c r="X12" s="185"/>
      <c r="Y12" s="185"/>
      <c r="Z12" s="185"/>
      <c r="AA12" s="185"/>
      <c r="AB12" s="185"/>
      <c r="AC12" s="185"/>
      <c r="AD12" s="185"/>
      <c r="AE12" s="185"/>
      <c r="AF12" s="185"/>
      <c r="AG12" s="185"/>
      <c r="AH12" s="185"/>
      <c r="AI12" s="185"/>
    </row>
    <row r="13" spans="1:35" ht="18.75" customHeight="1">
      <c r="A13" s="363"/>
      <c r="B13" s="127"/>
      <c r="C13" s="127"/>
      <c r="D13" s="183"/>
      <c r="E13" s="183"/>
      <c r="F13" s="183"/>
      <c r="G13" s="183"/>
      <c r="H13" s="183"/>
      <c r="I13" s="183"/>
      <c r="J13" s="183"/>
      <c r="K13" s="183"/>
      <c r="L13" s="183"/>
      <c r="M13" s="3"/>
      <c r="N13" s="3"/>
      <c r="O13" s="162"/>
      <c r="P13" s="161"/>
      <c r="S13" s="185"/>
      <c r="T13" s="185"/>
      <c r="U13" s="185"/>
      <c r="V13" s="185"/>
      <c r="W13" s="185"/>
      <c r="X13" s="185"/>
      <c r="Y13" s="185"/>
      <c r="Z13" s="185"/>
      <c r="AA13" s="185"/>
      <c r="AB13" s="185"/>
      <c r="AC13" s="185"/>
      <c r="AD13" s="185"/>
      <c r="AE13" s="185"/>
      <c r="AF13" s="185"/>
      <c r="AG13" s="185"/>
      <c r="AH13" s="185"/>
      <c r="AI13" s="185"/>
    </row>
    <row r="14" spans="1:35" ht="18.75" customHeight="1">
      <c r="A14" s="363"/>
      <c r="B14" s="127"/>
      <c r="C14" s="127"/>
      <c r="D14" s="183"/>
      <c r="E14" s="183"/>
      <c r="F14" s="183"/>
      <c r="G14" s="183"/>
      <c r="H14" s="183"/>
      <c r="I14" s="183"/>
      <c r="J14" s="183"/>
      <c r="K14" s="183"/>
      <c r="L14" s="183"/>
      <c r="M14" s="3"/>
      <c r="N14" s="3"/>
      <c r="O14" s="162"/>
      <c r="P14" s="161"/>
      <c r="S14" s="185"/>
      <c r="T14" s="185"/>
      <c r="U14" s="185"/>
      <c r="V14" s="185"/>
      <c r="W14" s="185"/>
      <c r="X14" s="185"/>
      <c r="Y14" s="185"/>
      <c r="Z14" s="185"/>
      <c r="AA14" s="185"/>
      <c r="AB14" s="185"/>
      <c r="AC14" s="185"/>
      <c r="AD14" s="185"/>
      <c r="AE14" s="185"/>
      <c r="AF14" s="185"/>
      <c r="AG14" s="185"/>
      <c r="AH14" s="185"/>
      <c r="AI14" s="185"/>
    </row>
    <row r="15" spans="1:35" ht="18.75" customHeight="1">
      <c r="A15" s="363"/>
      <c r="B15" s="127"/>
      <c r="C15" s="127"/>
      <c r="D15" s="183"/>
      <c r="E15" s="183"/>
      <c r="F15" s="183"/>
      <c r="G15" s="183"/>
      <c r="H15" s="183"/>
      <c r="I15" s="183"/>
      <c r="J15" s="183"/>
      <c r="K15" s="183"/>
      <c r="L15" s="183"/>
      <c r="M15" s="3"/>
      <c r="N15" s="3"/>
      <c r="O15" s="162"/>
      <c r="P15" s="161"/>
      <c r="S15" s="185"/>
      <c r="T15" s="185"/>
      <c r="U15" s="185"/>
      <c r="V15" s="185"/>
      <c r="W15" s="185"/>
      <c r="X15" s="185"/>
      <c r="Y15" s="185"/>
      <c r="Z15" s="185"/>
      <c r="AA15" s="185"/>
      <c r="AB15" s="185"/>
      <c r="AC15" s="185"/>
      <c r="AD15" s="185"/>
      <c r="AE15" s="185"/>
      <c r="AF15" s="185"/>
      <c r="AG15" s="185"/>
      <c r="AH15" s="185"/>
      <c r="AI15" s="185"/>
    </row>
    <row r="16" spans="1:35" ht="18.75" customHeight="1">
      <c r="A16" s="363"/>
      <c r="B16" s="127"/>
      <c r="C16" s="127"/>
      <c r="D16" s="183"/>
      <c r="E16" s="183"/>
      <c r="F16" s="183"/>
      <c r="G16" s="183"/>
      <c r="H16" s="183"/>
      <c r="I16" s="183"/>
      <c r="J16" s="183"/>
      <c r="K16" s="183"/>
      <c r="L16" s="183"/>
      <c r="M16" s="3"/>
      <c r="N16" s="3"/>
      <c r="O16" s="162"/>
      <c r="P16" s="161"/>
      <c r="S16" s="185"/>
      <c r="T16" s="185"/>
      <c r="U16" s="185"/>
      <c r="V16" s="185"/>
      <c r="W16" s="185"/>
      <c r="X16" s="185"/>
      <c r="Y16" s="185"/>
      <c r="Z16" s="185"/>
      <c r="AA16" s="185"/>
      <c r="AB16" s="185"/>
      <c r="AC16" s="185"/>
      <c r="AD16" s="185"/>
      <c r="AE16" s="185"/>
      <c r="AF16" s="185"/>
      <c r="AG16" s="185"/>
      <c r="AH16" s="185"/>
      <c r="AI16" s="185"/>
    </row>
    <row r="17" spans="1:35" ht="17.25" customHeight="1">
      <c r="A17" s="363"/>
      <c r="B17" s="127"/>
      <c r="C17" s="127"/>
      <c r="D17" s="183"/>
      <c r="E17" s="183"/>
      <c r="F17" s="183"/>
      <c r="G17" s="183"/>
      <c r="H17" s="183"/>
      <c r="I17" s="183"/>
      <c r="J17" s="183"/>
      <c r="K17" s="183"/>
      <c r="L17" s="183"/>
      <c r="M17" s="3"/>
      <c r="N17" s="3"/>
      <c r="O17" s="162"/>
      <c r="P17" s="161"/>
      <c r="S17" s="185"/>
      <c r="T17" s="185"/>
      <c r="U17" s="185"/>
      <c r="V17" s="185"/>
      <c r="W17" s="185"/>
      <c r="X17" s="185"/>
      <c r="Y17" s="185"/>
      <c r="Z17" s="185"/>
      <c r="AA17" s="185"/>
      <c r="AB17" s="185"/>
      <c r="AC17" s="185"/>
      <c r="AD17" s="185"/>
      <c r="AE17" s="185"/>
      <c r="AF17" s="185"/>
      <c r="AG17" s="185"/>
      <c r="AH17" s="185"/>
      <c r="AI17" s="185"/>
    </row>
    <row r="18" spans="1:35" ht="6" customHeight="1">
      <c r="A18" s="363"/>
      <c r="B18" s="131"/>
      <c r="C18" s="127"/>
      <c r="D18" s="128"/>
      <c r="E18" s="859"/>
      <c r="F18" s="859"/>
      <c r="G18" s="859"/>
      <c r="H18" s="859"/>
      <c r="I18" s="859"/>
      <c r="J18" s="859"/>
      <c r="K18" s="859"/>
      <c r="L18" s="3"/>
      <c r="M18" s="3"/>
      <c r="N18" s="3"/>
      <c r="O18" s="3"/>
      <c r="P18" s="3"/>
      <c r="S18" s="185"/>
      <c r="T18" s="185"/>
      <c r="U18" s="185"/>
      <c r="V18" s="185"/>
      <c r="W18" s="185"/>
      <c r="X18" s="185"/>
      <c r="Y18" s="185"/>
      <c r="Z18" s="185"/>
      <c r="AA18" s="185"/>
      <c r="AB18" s="185"/>
      <c r="AC18" s="185"/>
      <c r="AD18" s="185"/>
      <c r="AE18" s="185"/>
      <c r="AF18" s="185"/>
      <c r="AG18" s="185"/>
      <c r="AH18" s="185"/>
      <c r="AI18" s="185"/>
    </row>
    <row r="19" spans="1:35" ht="24" customHeight="1">
      <c r="A19" s="363"/>
      <c r="B19" s="860" t="s">
        <v>391</v>
      </c>
      <c r="C19" s="860"/>
      <c r="D19" s="860"/>
      <c r="E19" s="137" t="s">
        <v>366</v>
      </c>
      <c r="F19" s="137" t="s">
        <v>367</v>
      </c>
      <c r="G19" s="824" t="s">
        <v>249</v>
      </c>
      <c r="H19" s="825"/>
      <c r="I19" s="826" t="s">
        <v>250</v>
      </c>
      <c r="J19" s="827"/>
      <c r="K19" s="263" t="s">
        <v>251</v>
      </c>
      <c r="L19" s="816" t="s">
        <v>392</v>
      </c>
      <c r="M19" s="817"/>
      <c r="N19" s="817"/>
      <c r="O19" s="817"/>
      <c r="P19" s="817"/>
      <c r="Q19" s="818"/>
      <c r="S19" s="64" t="s">
        <v>55</v>
      </c>
      <c r="T19" s="65">
        <v>0</v>
      </c>
      <c r="U19" s="66">
        <v>0.3</v>
      </c>
      <c r="V19" s="66">
        <v>0.6</v>
      </c>
      <c r="W19" s="66">
        <v>0.9</v>
      </c>
      <c r="X19" s="66">
        <v>1</v>
      </c>
      <c r="Y19" s="70"/>
      <c r="Z19" s="70"/>
      <c r="AA19" s="64" t="s">
        <v>55</v>
      </c>
      <c r="AB19" s="65">
        <v>0</v>
      </c>
      <c r="AC19" s="66">
        <v>0.2</v>
      </c>
      <c r="AD19" s="66">
        <v>0.4</v>
      </c>
      <c r="AE19" s="66">
        <v>0.6</v>
      </c>
      <c r="AF19" s="66">
        <v>0.8</v>
      </c>
      <c r="AG19" s="70"/>
      <c r="AH19" s="70"/>
      <c r="AI19" s="70"/>
    </row>
    <row r="20" spans="1:35" ht="145.5" customHeight="1">
      <c r="A20" s="479" t="s">
        <v>421</v>
      </c>
      <c r="B20" s="829" t="str">
        <f>+'Introducerea datelor'!B116</f>
        <v>Rata mortalităţii  - Numărul de decese cauzate de TB (toate formele) pe an, la 100 000 persoane</v>
      </c>
      <c r="C20" s="829"/>
      <c r="D20" s="829"/>
      <c r="E20" s="407">
        <f ca="1">OFFSET('Introducerea datelor'!$G$115,1,RIGHT('Introducerea datelor'!$C$16,LEN('Introducerea datelor'!$C$16)-1),1,1)</f>
        <v>8.6999999999999993</v>
      </c>
      <c r="F20" s="407">
        <f ca="1">OFFSET('Introducerea datelor'!$G$115,2,RIGHT('Introducerea datelor'!$C$16,LEN('Introducerea datelor'!$C$16)-1),1,1)</f>
        <v>7.9</v>
      </c>
      <c r="G20" s="821">
        <f ca="1">+IF(ISERROR(F20/E20),0,E20/F20)</f>
        <v>1.10126582278481</v>
      </c>
      <c r="H20" s="822"/>
      <c r="I20" s="822"/>
      <c r="J20" s="822"/>
      <c r="K20" s="823"/>
      <c r="L20" s="839" t="s">
        <v>479</v>
      </c>
      <c r="M20" s="840"/>
      <c r="N20" s="840"/>
      <c r="O20" s="840"/>
      <c r="P20" s="840"/>
      <c r="Q20" s="841"/>
      <c r="S20" s="64" t="s">
        <v>56</v>
      </c>
      <c r="T20" s="67">
        <v>0.3</v>
      </c>
      <c r="U20" s="66">
        <v>0.6</v>
      </c>
      <c r="V20" s="66">
        <v>0.9</v>
      </c>
      <c r="W20" s="66">
        <v>1</v>
      </c>
      <c r="X20" s="66">
        <v>2</v>
      </c>
      <c r="Y20" s="70"/>
      <c r="Z20" s="70"/>
      <c r="AA20" s="64" t="s">
        <v>56</v>
      </c>
      <c r="AB20" s="67">
        <v>0.2</v>
      </c>
      <c r="AC20" s="66">
        <v>0.4</v>
      </c>
      <c r="AD20" s="66">
        <v>0.6</v>
      </c>
      <c r="AE20" s="66">
        <v>0.8</v>
      </c>
      <c r="AF20" s="66">
        <v>1</v>
      </c>
      <c r="AG20" s="70"/>
      <c r="AH20" s="70"/>
      <c r="AI20" s="70"/>
    </row>
    <row r="21" spans="1:35" ht="111" customHeight="1">
      <c r="A21" s="479" t="s">
        <v>453</v>
      </c>
      <c r="B21" s="829" t="str">
        <f>+'Introducerea datelor'!B118</f>
        <v xml:space="preserve">Prevalența TB MDR printre cazurile noi de tuberculoză - Numărul cazurilor noi de tuberculoză cu cultura pozitivă, testate la sensibilitate pentru preparatele de linia I, diagnosticate cu MDR, din numărul total de cazuri noi de tuberculoză cu cultura pozitivă, testate la sensibilitate pentru preparatele de linia I, pe parcursul anului </v>
      </c>
      <c r="C21" s="829"/>
      <c r="D21" s="829"/>
      <c r="E21" s="407">
        <f ca="1">OFFSET('Introducerea datelor'!$G$115,3,RIGHT('Introducerea datelor'!$C$16,LEN('Introducerea datelor'!$C$16)-1),1,1)</f>
        <v>20.5</v>
      </c>
      <c r="F21" s="407">
        <f ca="1">OFFSET('Introducerea datelor'!$G$115,4,RIGHT('Introducerea datelor'!$C$16,LEN('Introducerea datelor'!$C$16)-1),1,1)</f>
        <v>24.4</v>
      </c>
      <c r="G21" s="821">
        <f ca="1">+IF(ISERROR(E21/F21),0,E21/F21)</f>
        <v>0.84016393442622961</v>
      </c>
      <c r="H21" s="822"/>
      <c r="I21" s="822"/>
      <c r="J21" s="822"/>
      <c r="K21" s="823"/>
      <c r="L21" s="839" t="s">
        <v>480</v>
      </c>
      <c r="M21" s="842"/>
      <c r="N21" s="842"/>
      <c r="O21" s="842"/>
      <c r="P21" s="842"/>
      <c r="Q21" s="843"/>
      <c r="S21" s="68"/>
      <c r="T21" s="69" t="str">
        <f>"de "&amp;T19&amp;" a "&amp;T20</f>
        <v>de 0 a 0,3</v>
      </c>
      <c r="U21" s="69" t="str">
        <f>"de "&amp;U19&amp;" a "&amp;U20</f>
        <v>de 0,3 a 0,6</v>
      </c>
      <c r="V21" s="69" t="str">
        <f>"de "&amp;V19&amp;" a "&amp;V20</f>
        <v>de 0,6 a 0,9</v>
      </c>
      <c r="W21" s="69" t="str">
        <f>"de "&amp;W19&amp;" a "&amp;W20</f>
        <v>de 0,9 a 1</v>
      </c>
      <c r="X21" s="69" t="str">
        <f>"de "&amp;X19&amp;" a "&amp;X20</f>
        <v>de 1 a 2</v>
      </c>
      <c r="Y21" s="70"/>
      <c r="Z21" s="70" t="s">
        <v>215</v>
      </c>
      <c r="AA21" s="68" t="s">
        <v>214</v>
      </c>
      <c r="AB21" s="69" t="str">
        <f>"de "&amp;AB19&amp;" a "&amp;AB20</f>
        <v>de 0 a 0,2</v>
      </c>
      <c r="AC21" s="69" t="str">
        <f>"de "&amp;AC19&amp;" a "&amp;AC20</f>
        <v>de 0,2 a 0,4</v>
      </c>
      <c r="AD21" s="69" t="str">
        <f>"de "&amp;AD19&amp;" a "&amp;AD20</f>
        <v>de 0,4 a 0,6</v>
      </c>
      <c r="AE21" s="69" t="str">
        <f>"de "&amp;AE19&amp;" a "&amp;AE20</f>
        <v>de 0,6 a 0,8</v>
      </c>
      <c r="AF21" s="69" t="str">
        <f>"de "&amp;AF19&amp;" a "&amp;AF20</f>
        <v>de 0,8 a 1</v>
      </c>
      <c r="AG21" s="70"/>
      <c r="AH21" s="70"/>
      <c r="AI21" s="70"/>
    </row>
    <row r="22" spans="1:35" ht="258.75" customHeight="1">
      <c r="A22" s="398" t="s">
        <v>429</v>
      </c>
      <c r="B22" s="829" t="str">
        <f>+'Introducerea datelor'!B120</f>
        <v xml:space="preserve">Rata succesului tratamentului pacienților cu TB MDR - Numărul şi procentul cazurilor de TB DR confirmate bacteriologic (RR-TB și/sau MDR-TB), tratate cu succes (vindecate și cu tratamente încheiate), din numărul total de cazuri înregistrate sub DOTS Plus într-o anumită perioadă de timp </v>
      </c>
      <c r="C22" s="829"/>
      <c r="D22" s="829"/>
      <c r="E22" s="407">
        <f ca="1">OFFSET('Introducerea datelor'!$G$115,5,RIGHT('Introducerea datelor'!$C$16,LEN('Introducerea datelor'!$C$16)-1),1,1)</f>
        <v>65</v>
      </c>
      <c r="F22" s="407">
        <f ca="1">OFFSET('Introducerea datelor'!$G$115,6,RIGHT('Introducerea datelor'!$C$16,LEN('Introducerea datelor'!$C$16)-1),1,1)</f>
        <v>49.7</v>
      </c>
      <c r="G22" s="821">
        <f ca="1">+IF(ISERROR(E22/F22),0,F22/E22)</f>
        <v>0.7646153846153847</v>
      </c>
      <c r="H22" s="822"/>
      <c r="I22" s="822"/>
      <c r="J22" s="822"/>
      <c r="K22" s="823"/>
      <c r="L22" s="839" t="s">
        <v>484</v>
      </c>
      <c r="M22" s="844"/>
      <c r="N22" s="844"/>
      <c r="O22" s="844"/>
      <c r="P22" s="844"/>
      <c r="Q22" s="845"/>
      <c r="S22" s="68"/>
      <c r="T22" s="66" t="e">
        <f t="shared" ref="T22:W30" si="0">IF($K20&gt;T$19,IF($K20&lt;=T$20,$K20,NA()),NA())</f>
        <v>#N/A</v>
      </c>
      <c r="U22" s="66" t="e">
        <f t="shared" si="0"/>
        <v>#N/A</v>
      </c>
      <c r="V22" s="66" t="e">
        <f t="shared" si="0"/>
        <v>#N/A</v>
      </c>
      <c r="W22" s="66" t="e">
        <f t="shared" si="0"/>
        <v>#N/A</v>
      </c>
      <c r="X22" s="66" t="e">
        <f>IF($K20&gt;X$19,IF($K20&lt;=X$20,1,NA()),NA())</f>
        <v>#N/A</v>
      </c>
      <c r="Y22" s="70"/>
      <c r="Z22" s="158" t="e">
        <f>+'Detail despre Grant'!#REF!</f>
        <v>#REF!</v>
      </c>
      <c r="AA22" s="66" t="e">
        <f>+IF(Z22="A1",1,IF(Z22="A2",0.8,IF(Z22="B1",0.6,IF(Z22="B2",0.4,0.2))))</f>
        <v>#REF!</v>
      </c>
      <c r="AB22" s="66" t="e">
        <f>IF($AA22&gt;AB$19,IF($AA22&lt;=AB$20,$AA22,NA()),NA())</f>
        <v>#REF!</v>
      </c>
      <c r="AC22" s="66" t="e">
        <f t="shared" ref="AC22:AF24" si="1">IF($AA22&gt;AC$19,IF($AA22&lt;=AC$20,$AA22,NA()),NA())</f>
        <v>#REF!</v>
      </c>
      <c r="AD22" s="66" t="e">
        <f t="shared" si="1"/>
        <v>#REF!</v>
      </c>
      <c r="AE22" s="66" t="e">
        <f t="shared" si="1"/>
        <v>#REF!</v>
      </c>
      <c r="AF22" s="66" t="e">
        <f t="shared" si="1"/>
        <v>#REF!</v>
      </c>
      <c r="AG22" s="70"/>
      <c r="AH22" s="70"/>
      <c r="AI22" s="70"/>
    </row>
    <row r="23" spans="1:35" ht="138.75" customHeight="1">
      <c r="A23" s="398" t="s">
        <v>428</v>
      </c>
      <c r="B23" s="829" t="str">
        <f>+'Introducerea datelor'!B122</f>
        <v xml:space="preserve">Rata de notificare a cazurilor de tuberculoză (toate formele) per 100 000 populație - Toate cazurile de tuberculoză (bacteriologic confirmate și diagnosticate clinic, cazuri noi și recidive) notificate către autoritatea națională într-o perioadă anumită de timp per 100 000 populație          </v>
      </c>
      <c r="C23" s="829"/>
      <c r="D23" s="829"/>
      <c r="E23" s="407">
        <f ca="1">OFFSET('Introducerea datelor'!$G$115,7,RIGHT('Introducerea datelor'!$C$16,LEN('Introducerea datelor'!$C$16)-1),1,1)</f>
        <v>103.5</v>
      </c>
      <c r="F23" s="407">
        <f ca="1">OFFSET('Introducerea datelor'!$G$115,8,RIGHT('Introducerea datelor'!$C$16,LEN('Introducerea datelor'!$C$16)-1),1,1)</f>
        <v>83.3</v>
      </c>
      <c r="G23" s="821">
        <f ca="1">+IF(ISERROR(F23/E23),0,F23/E23)</f>
        <v>0.80483091787439609</v>
      </c>
      <c r="H23" s="822"/>
      <c r="I23" s="822"/>
      <c r="J23" s="822"/>
      <c r="K23" s="823"/>
      <c r="L23" s="847" t="s">
        <v>485</v>
      </c>
      <c r="M23" s="848"/>
      <c r="N23" s="848"/>
      <c r="O23" s="848"/>
      <c r="P23" s="848"/>
      <c r="Q23" s="849"/>
      <c r="S23" s="68"/>
      <c r="T23" s="66" t="e">
        <f t="shared" si="0"/>
        <v>#N/A</v>
      </c>
      <c r="U23" s="66" t="e">
        <f t="shared" si="0"/>
        <v>#N/A</v>
      </c>
      <c r="V23" s="66" t="e">
        <f t="shared" si="0"/>
        <v>#N/A</v>
      </c>
      <c r="W23" s="66" t="e">
        <f t="shared" si="0"/>
        <v>#N/A</v>
      </c>
      <c r="X23" s="66" t="e">
        <f>IF($K21&gt;X$19,IF($K21&lt;=X$20,1,1),NA())</f>
        <v>#N/A</v>
      </c>
      <c r="Y23" s="70"/>
      <c r="Z23" s="158" t="e">
        <f>+'Detail despre Grant'!#REF!</f>
        <v>#REF!</v>
      </c>
      <c r="AA23" s="66" t="e">
        <f>+IF(Z23="A1",1,IF(Z23="A2",0.8,IF(Z23="B1",0.6,IF(Z23="B2",0.4,0.2))))</f>
        <v>#REF!</v>
      </c>
      <c r="AB23" s="66" t="e">
        <f>IF($AA23&gt;AB$19,IF($AA23&lt;=AB$20,$AA23,NA()),NA())</f>
        <v>#REF!</v>
      </c>
      <c r="AC23" s="66" t="e">
        <f t="shared" si="1"/>
        <v>#REF!</v>
      </c>
      <c r="AD23" s="66" t="e">
        <f t="shared" si="1"/>
        <v>#REF!</v>
      </c>
      <c r="AE23" s="66" t="e">
        <f t="shared" si="1"/>
        <v>#REF!</v>
      </c>
      <c r="AF23" s="66" t="e">
        <f t="shared" si="1"/>
        <v>#REF!</v>
      </c>
      <c r="AG23" s="70"/>
      <c r="AH23" s="70"/>
      <c r="AI23" s="70"/>
    </row>
    <row r="24" spans="1:35" ht="86.25" customHeight="1">
      <c r="A24" s="398" t="s">
        <v>439</v>
      </c>
      <c r="B24" s="829" t="str">
        <f>+'Introducerea datelor'!B124</f>
        <v>Numărul de cazuri de TB DR (RR-TB și/sau MDR-TB), confirmate bacteriologic, notificate</v>
      </c>
      <c r="C24" s="829"/>
      <c r="D24" s="829"/>
      <c r="E24" s="507">
        <f ca="1">OFFSET('Introducerea datelor'!$G$115,9,RIGHT('Introducerea datelor'!$C$16,LEN('Introducerea datelor'!$C$16)-1),1,1)</f>
        <v>868</v>
      </c>
      <c r="F24" s="508">
        <f ca="1">OFFSET('Introducerea datelor'!$G$115,10,RIGHT('Introducerea datelor'!$C$16,LEN('Introducerea datelor'!$C$16)-1),1,1)</f>
        <v>1031</v>
      </c>
      <c r="G24" s="821">
        <f ca="1">+IF(ISERROR(F24/E24),0,F24/E24)</f>
        <v>1.1877880184331797</v>
      </c>
      <c r="H24" s="822"/>
      <c r="I24" s="822"/>
      <c r="J24" s="822"/>
      <c r="K24" s="823"/>
      <c r="L24" s="820" t="s">
        <v>486</v>
      </c>
      <c r="M24" s="820"/>
      <c r="N24" s="820"/>
      <c r="O24" s="820"/>
      <c r="P24" s="820"/>
      <c r="Q24" s="820"/>
      <c r="S24" s="68"/>
      <c r="T24" s="66" t="e">
        <f t="shared" si="0"/>
        <v>#N/A</v>
      </c>
      <c r="U24" s="66" t="e">
        <f t="shared" si="0"/>
        <v>#N/A</v>
      </c>
      <c r="V24" s="66" t="e">
        <f t="shared" si="0"/>
        <v>#N/A</v>
      </c>
      <c r="W24" s="66" t="e">
        <f t="shared" si="0"/>
        <v>#N/A</v>
      </c>
      <c r="X24" s="66" t="e">
        <f t="shared" ref="X24:X30" si="2">IF($K22&gt;X$19,IF($K22&lt;=X$20,1,NA()),NA())</f>
        <v>#N/A</v>
      </c>
      <c r="Y24" s="70"/>
      <c r="Z24" s="158" t="e">
        <f>+'Detail despre Grant'!#REF!</f>
        <v>#REF!</v>
      </c>
      <c r="AA24" s="66" t="e">
        <f>+IF(Z24="A1",1,IF(Z24="A2",0.8,IF(Z24="B1",0.6,IF(Z24="B2",0.4,0.2))))</f>
        <v>#REF!</v>
      </c>
      <c r="AB24" s="66" t="e">
        <f>IF($AA24&gt;AB$19,IF($AA24&lt;=AB$20,$AA24,NA()),NA())</f>
        <v>#REF!</v>
      </c>
      <c r="AC24" s="66" t="e">
        <f t="shared" si="1"/>
        <v>#REF!</v>
      </c>
      <c r="AD24" s="66" t="e">
        <f t="shared" si="1"/>
        <v>#REF!</v>
      </c>
      <c r="AE24" s="66" t="e">
        <f t="shared" si="1"/>
        <v>#REF!</v>
      </c>
      <c r="AF24" s="66" t="e">
        <f t="shared" si="1"/>
        <v>#REF!</v>
      </c>
      <c r="AG24" s="70"/>
      <c r="AH24" s="70"/>
      <c r="AI24" s="70"/>
    </row>
    <row r="25" spans="1:35" ht="118.5" customHeight="1">
      <c r="A25" s="398" t="s">
        <v>458</v>
      </c>
      <c r="B25" s="836" t="str">
        <f>+'Introducerea datelor'!B126</f>
        <v xml:space="preserve">Numărul cazurilor cu tuberculoză drog-rezistentă (RR-TB și/sau MDR-TB), confirmate bacteriologic, care au demarat tratamentul DOTS-Plus în perioada raportată                 </v>
      </c>
      <c r="C25" s="837"/>
      <c r="D25" s="838"/>
      <c r="E25" s="506">
        <f ca="1">OFFSET('Introducerea datelor'!$G$115,11,RIGHT('Introducerea datelor'!$C$16,LEN('Introducerea datelor'!$C$16)-1),1,1)</f>
        <v>730</v>
      </c>
      <c r="F25" s="506">
        <f ca="1">OFFSET('Introducerea datelor'!$G$115,12,RIGHT('Introducerea datelor'!$C$16,LEN('Introducerea datelor'!$C$16)-1),1,1)</f>
        <v>976</v>
      </c>
      <c r="G25" s="821">
        <f ca="1">+IF(ISERROR(F25/E25),0,F25/E25)</f>
        <v>1.3369863013698631</v>
      </c>
      <c r="H25" s="822"/>
      <c r="I25" s="822"/>
      <c r="J25" s="822"/>
      <c r="K25" s="823"/>
      <c r="L25" s="820" t="s">
        <v>487</v>
      </c>
      <c r="M25" s="820"/>
      <c r="N25" s="820"/>
      <c r="O25" s="820"/>
      <c r="P25" s="820"/>
      <c r="Q25" s="820"/>
      <c r="S25" s="68"/>
      <c r="T25" s="66"/>
      <c r="U25" s="66"/>
      <c r="V25" s="66"/>
      <c r="W25" s="66"/>
      <c r="X25" s="66"/>
      <c r="Y25" s="70"/>
      <c r="Z25" s="70"/>
      <c r="AA25" s="70"/>
      <c r="AB25" s="70"/>
      <c r="AC25" s="70"/>
      <c r="AD25" s="70"/>
      <c r="AE25" s="70"/>
      <c r="AF25" s="70"/>
      <c r="AG25" s="70"/>
      <c r="AH25" s="70"/>
      <c r="AI25" s="70"/>
    </row>
    <row r="26" spans="1:35" ht="203.25" customHeight="1">
      <c r="A26" s="398" t="s">
        <v>443</v>
      </c>
      <c r="B26" s="829" t="str">
        <f>+'Introducerea datelor'!B128</f>
        <v xml:space="preserve">Rezultatul interimar de abandon al tratamentului cazurilor MDR-TB: numărul și procentul pacienţilor cu tuberculoză drog-rezistentă (RR-TB și/sau MDR-TB) care au întrerupt tratamentul DOTS-Plus către luna a 6 de la demararea acestuia   </v>
      </c>
      <c r="C26" s="829"/>
      <c r="D26" s="829"/>
      <c r="E26" s="407">
        <f ca="1">OFFSET('Introducerea datelor'!$G$115,13,RIGHT('Introducerea datelor'!$C$16,LEN('Introducerea datelor'!$C$16)-1),1,1)</f>
        <v>5.4</v>
      </c>
      <c r="F26" s="408">
        <f ca="1">OFFSET('Introducerea datelor'!$G$115,14,RIGHT('Introducerea datelor'!$C$16,LEN('Introducerea datelor'!$C$16)-1),1,1)</f>
        <v>9.9</v>
      </c>
      <c r="G26" s="821">
        <f ca="1">+IF(ISERROR(F26/E26),0,E26/F26)</f>
        <v>0.54545454545454553</v>
      </c>
      <c r="H26" s="822"/>
      <c r="I26" s="822"/>
      <c r="J26" s="822"/>
      <c r="K26" s="823"/>
      <c r="L26" s="819" t="s">
        <v>488</v>
      </c>
      <c r="M26" s="820"/>
      <c r="N26" s="820"/>
      <c r="O26" s="820"/>
      <c r="P26" s="820"/>
      <c r="Q26" s="820"/>
      <c r="S26" s="68"/>
      <c r="T26" s="66" t="e">
        <f>IF($K24&gt;T$19,IF($K24&lt;=T$20,$K24,NA()),NA())</f>
        <v>#N/A</v>
      </c>
      <c r="U26" s="66" t="e">
        <f>IF($K24&gt;U$19,IF($K24&lt;=U$20,$K24,NA()),NA())</f>
        <v>#N/A</v>
      </c>
      <c r="V26" s="66" t="e">
        <f>IF($K24&gt;V$19,IF($K24&lt;=V$20,$K24,NA()),NA())</f>
        <v>#N/A</v>
      </c>
      <c r="W26" s="66" t="e">
        <f>IF($K24&gt;W$19,IF($K24&lt;=W$20,$K24,NA()),NA())</f>
        <v>#N/A</v>
      </c>
      <c r="X26" s="66" t="e">
        <f>IF($K24&gt;X$19,IF($K24&lt;=X$20,1,NA()),NA())</f>
        <v>#N/A</v>
      </c>
      <c r="Y26" s="70"/>
      <c r="Z26" s="70"/>
      <c r="AA26" s="70"/>
      <c r="AB26" s="70"/>
      <c r="AC26" s="70"/>
      <c r="AD26" s="70"/>
      <c r="AE26" s="70"/>
      <c r="AF26" s="70"/>
      <c r="AG26" s="70"/>
      <c r="AH26" s="70"/>
      <c r="AI26" s="70"/>
    </row>
    <row r="27" spans="1:35" ht="22.5" customHeight="1">
      <c r="A27" s="363"/>
      <c r="B27" s="835"/>
      <c r="C27" s="835"/>
      <c r="D27" s="835"/>
      <c r="E27" s="835"/>
      <c r="F27" s="834"/>
      <c r="G27" s="834"/>
      <c r="H27" s="834"/>
      <c r="I27" s="834"/>
      <c r="J27" s="834"/>
      <c r="K27" s="834"/>
      <c r="L27" s="846"/>
      <c r="M27" s="846"/>
      <c r="N27" s="846"/>
      <c r="O27" s="846"/>
      <c r="P27" s="846"/>
      <c r="Q27" s="446"/>
      <c r="S27" s="68"/>
      <c r="T27" s="66" t="e">
        <f>IF(#REF!&gt;T$19,IF(#REF!&lt;=T$20,#REF!,NA()),NA())</f>
        <v>#REF!</v>
      </c>
      <c r="U27" s="66" t="e">
        <f>IF(#REF!&gt;U$19,IF(#REF!&lt;=U$20,#REF!,NA()),NA())</f>
        <v>#REF!</v>
      </c>
      <c r="V27" s="66" t="e">
        <f>IF(#REF!&gt;V$19,IF(#REF!&lt;=V$20,#REF!,NA()),NA())</f>
        <v>#REF!</v>
      </c>
      <c r="W27" s="66" t="e">
        <f>IF(#REF!&gt;W$19,IF(#REF!&lt;=W$20,#REF!,NA()),NA())</f>
        <v>#REF!</v>
      </c>
      <c r="X27" s="66" t="e">
        <f>IF(#REF!&gt;X$19,IF(#REF!&lt;=X$20,1,NA()),NA())</f>
        <v>#REF!</v>
      </c>
      <c r="Y27" s="70"/>
      <c r="Z27" s="70"/>
      <c r="AA27" s="70"/>
      <c r="AB27" s="70"/>
      <c r="AC27" s="70"/>
      <c r="AD27" s="70"/>
      <c r="AE27" s="70"/>
      <c r="AF27" s="70"/>
      <c r="AG27" s="70"/>
      <c r="AH27" s="70"/>
      <c r="AI27" s="70"/>
    </row>
    <row r="28" spans="1:35" ht="22.5" customHeight="1">
      <c r="A28" s="363"/>
      <c r="B28" s="830"/>
      <c r="C28" s="830"/>
      <c r="D28" s="830"/>
      <c r="E28" s="831"/>
      <c r="F28" s="832"/>
      <c r="G28" s="833"/>
      <c r="H28" s="833"/>
      <c r="I28" s="833"/>
      <c r="J28" s="833"/>
      <c r="K28" s="831"/>
      <c r="L28" s="832"/>
      <c r="M28" s="833"/>
      <c r="N28" s="833"/>
      <c r="O28" s="833"/>
      <c r="P28" s="833"/>
      <c r="S28" s="68"/>
      <c r="T28" s="66" t="e">
        <f>IF(#REF!&gt;T$19,IF(#REF!&lt;=T$20,#REF!,NA()),NA())</f>
        <v>#REF!</v>
      </c>
      <c r="U28" s="66" t="e">
        <f>IF(#REF!&gt;U$19,IF(#REF!&lt;=U$20,#REF!,NA()),NA())</f>
        <v>#REF!</v>
      </c>
      <c r="V28" s="66" t="e">
        <f>IF(#REF!&gt;V$19,IF(#REF!&lt;=V$20,#REF!,NA()),NA())</f>
        <v>#REF!</v>
      </c>
      <c r="W28" s="66" t="e">
        <f>IF(#REF!&gt;W$19,IF(#REF!&lt;=W$20,#REF!,NA()),NA())</f>
        <v>#REF!</v>
      </c>
      <c r="X28" s="66" t="e">
        <f>IF(#REF!&gt;X$19,IF(#REF!&lt;=X$20,1,NA()),NA())</f>
        <v>#REF!</v>
      </c>
      <c r="Y28" s="70"/>
      <c r="Z28" s="70"/>
      <c r="AA28" s="70"/>
      <c r="AB28" s="70"/>
      <c r="AC28" s="70"/>
      <c r="AD28" s="70"/>
      <c r="AE28" s="70"/>
      <c r="AF28" s="70"/>
      <c r="AG28" s="70"/>
      <c r="AH28" s="70"/>
      <c r="AI28" s="70"/>
    </row>
    <row r="29" spans="1:35">
      <c r="A29" s="363"/>
      <c r="B29" s="186"/>
      <c r="C29" s="186"/>
      <c r="D29" s="186"/>
      <c r="E29" s="367"/>
      <c r="F29" s="367"/>
      <c r="G29" s="186"/>
      <c r="H29" s="187"/>
      <c r="I29" s="186"/>
      <c r="J29" s="186"/>
      <c r="K29" s="186"/>
      <c r="L29" s="186"/>
      <c r="M29" s="186"/>
      <c r="N29" s="186"/>
      <c r="O29" s="186"/>
      <c r="P29" s="186"/>
      <c r="S29" s="68"/>
      <c r="T29" s="66" t="e">
        <f t="shared" si="0"/>
        <v>#N/A</v>
      </c>
      <c r="U29" s="66" t="e">
        <f t="shared" si="0"/>
        <v>#N/A</v>
      </c>
      <c r="V29" s="66" t="e">
        <f t="shared" si="0"/>
        <v>#N/A</v>
      </c>
      <c r="W29" s="66" t="e">
        <f t="shared" si="0"/>
        <v>#N/A</v>
      </c>
      <c r="X29" s="66" t="e">
        <f t="shared" si="2"/>
        <v>#N/A</v>
      </c>
      <c r="Y29" s="70"/>
      <c r="Z29" s="70"/>
      <c r="AA29" s="70"/>
      <c r="AB29" s="70"/>
      <c r="AC29" s="70"/>
      <c r="AD29" s="70"/>
      <c r="AE29" s="70"/>
      <c r="AF29" s="70"/>
      <c r="AG29" s="70"/>
      <c r="AH29" s="70"/>
      <c r="AI29" s="70"/>
    </row>
    <row r="30" spans="1:35">
      <c r="A30" s="363"/>
      <c r="B30" s="828"/>
      <c r="C30" s="828"/>
      <c r="D30" s="828"/>
      <c r="E30" s="828"/>
      <c r="F30" s="828"/>
      <c r="G30" s="828"/>
      <c r="H30" s="828"/>
      <c r="I30" s="828"/>
      <c r="J30" s="828"/>
      <c r="K30" s="828"/>
      <c r="L30" s="186"/>
      <c r="M30" s="186"/>
      <c r="N30" s="186"/>
      <c r="O30" s="186"/>
      <c r="P30" s="186"/>
      <c r="S30" s="68"/>
      <c r="T30" s="66" t="e">
        <f t="shared" si="0"/>
        <v>#N/A</v>
      </c>
      <c r="U30" s="66" t="e">
        <f t="shared" si="0"/>
        <v>#N/A</v>
      </c>
      <c r="V30" s="66" t="e">
        <f t="shared" si="0"/>
        <v>#N/A</v>
      </c>
      <c r="W30" s="66" t="e">
        <f t="shared" si="0"/>
        <v>#N/A</v>
      </c>
      <c r="X30" s="66" t="e">
        <f t="shared" si="2"/>
        <v>#N/A</v>
      </c>
      <c r="Y30" s="70"/>
      <c r="Z30" s="70"/>
      <c r="AA30" s="70"/>
      <c r="AB30" s="70"/>
      <c r="AC30" s="70"/>
      <c r="AD30" s="70"/>
      <c r="AE30" s="70"/>
      <c r="AF30" s="70"/>
      <c r="AG30" s="70"/>
      <c r="AH30" s="70"/>
      <c r="AI30" s="70"/>
    </row>
    <row r="31" spans="1:35">
      <c r="A31" s="363"/>
      <c r="B31" s="828"/>
      <c r="C31" s="828"/>
      <c r="D31" s="828"/>
      <c r="E31" s="828"/>
      <c r="F31" s="828"/>
      <c r="G31" s="828"/>
      <c r="H31" s="828"/>
      <c r="I31" s="828"/>
      <c r="J31" s="828"/>
      <c r="K31" s="828"/>
      <c r="L31" s="186"/>
      <c r="M31" s="186"/>
      <c r="N31" s="186"/>
      <c r="O31" s="186"/>
      <c r="P31" s="186"/>
      <c r="S31" s="70"/>
      <c r="T31" s="70"/>
      <c r="U31" s="70"/>
      <c r="V31" s="70"/>
      <c r="W31" s="70"/>
      <c r="X31" s="70"/>
      <c r="Y31" s="70"/>
      <c r="Z31" s="70"/>
      <c r="AA31" s="70"/>
      <c r="AB31" s="70"/>
      <c r="AC31" s="70"/>
      <c r="AD31" s="70"/>
      <c r="AE31" s="70"/>
      <c r="AF31" s="70"/>
      <c r="AG31" s="70"/>
      <c r="AH31" s="70"/>
      <c r="AI31" s="70"/>
    </row>
    <row r="32" spans="1:35">
      <c r="A32" s="363"/>
      <c r="B32" s="3"/>
      <c r="C32" s="3"/>
      <c r="D32" s="3"/>
      <c r="E32" s="366"/>
      <c r="F32" s="366"/>
      <c r="G32" s="3"/>
      <c r="H32" s="3"/>
      <c r="I32" s="98"/>
      <c r="J32" s="98"/>
      <c r="K32" s="98"/>
      <c r="L32" s="3"/>
      <c r="M32" s="3"/>
      <c r="N32" s="3"/>
      <c r="O32" s="3"/>
      <c r="P32" s="3"/>
      <c r="S32" s="70"/>
      <c r="T32" s="70"/>
      <c r="U32" s="70"/>
      <c r="V32" s="70"/>
      <c r="W32" s="70"/>
      <c r="X32" s="70"/>
      <c r="Y32" s="70"/>
      <c r="Z32" s="70"/>
      <c r="AA32" s="70"/>
      <c r="AB32" s="70"/>
      <c r="AC32" s="70"/>
      <c r="AD32" s="70"/>
      <c r="AE32" s="70"/>
      <c r="AF32" s="70"/>
      <c r="AG32" s="70"/>
      <c r="AH32" s="70"/>
      <c r="AI32" s="70"/>
    </row>
    <row r="33" spans="1:35">
      <c r="A33" s="363"/>
      <c r="B33" s="3"/>
      <c r="C33" s="3"/>
      <c r="D33" s="3"/>
      <c r="E33" s="366"/>
      <c r="F33" s="366"/>
      <c r="G33" s="3"/>
      <c r="H33" s="3"/>
      <c r="I33" s="138"/>
      <c r="J33" s="139"/>
      <c r="K33" s="139"/>
      <c r="L33" s="3"/>
      <c r="M33" s="3"/>
      <c r="N33" s="3"/>
      <c r="O33" s="3"/>
      <c r="P33" s="3"/>
      <c r="S33" s="70"/>
      <c r="T33" s="70"/>
      <c r="U33" s="70"/>
      <c r="V33" s="70"/>
      <c r="W33" s="70"/>
      <c r="X33" s="70"/>
      <c r="Y33" s="70"/>
      <c r="Z33" s="70"/>
      <c r="AA33" s="70"/>
      <c r="AB33" s="70"/>
      <c r="AC33" s="70"/>
      <c r="AD33" s="70"/>
      <c r="AE33" s="70"/>
      <c r="AF33" s="70"/>
      <c r="AG33" s="70"/>
      <c r="AH33" s="70"/>
      <c r="AI33" s="70"/>
    </row>
    <row r="34" spans="1:35">
      <c r="A34" s="363"/>
      <c r="B34" s="3"/>
      <c r="C34" s="3"/>
      <c r="D34" s="3"/>
      <c r="E34" s="366"/>
      <c r="F34" s="366"/>
      <c r="G34" s="3"/>
      <c r="H34" s="3"/>
      <c r="I34" s="140"/>
      <c r="J34" s="141"/>
      <c r="K34" s="100"/>
      <c r="L34" s="3"/>
      <c r="M34" s="3"/>
      <c r="N34" s="3"/>
      <c r="O34" s="3"/>
      <c r="P34" s="3"/>
      <c r="S34" s="70"/>
      <c r="T34" s="70"/>
      <c r="U34" s="70"/>
      <c r="V34" s="70"/>
      <c r="W34" s="70"/>
      <c r="X34" s="70"/>
      <c r="Y34" s="70"/>
      <c r="Z34" s="70"/>
      <c r="AA34" s="70"/>
      <c r="AB34" s="70"/>
      <c r="AC34" s="70"/>
      <c r="AD34" s="70"/>
      <c r="AE34" s="70"/>
      <c r="AF34" s="70"/>
      <c r="AG34" s="70"/>
      <c r="AH34" s="70"/>
      <c r="AI34" s="70"/>
    </row>
    <row r="35" spans="1:35">
      <c r="A35" s="363"/>
      <c r="B35" s="3"/>
      <c r="C35" s="3"/>
      <c r="D35" s="3"/>
      <c r="E35" s="366"/>
      <c r="F35" s="366"/>
      <c r="G35" s="3"/>
      <c r="H35" s="3"/>
      <c r="I35" s="142"/>
      <c r="J35" s="141"/>
      <c r="K35" s="100"/>
      <c r="L35" s="3"/>
      <c r="M35" s="3"/>
      <c r="N35" s="3"/>
      <c r="O35" s="3"/>
      <c r="P35" s="3"/>
      <c r="S35" s="70"/>
      <c r="T35" s="70"/>
      <c r="U35" s="70"/>
      <c r="V35" s="70"/>
      <c r="W35" s="70"/>
      <c r="X35" s="70"/>
      <c r="Y35" s="70"/>
      <c r="Z35" s="70"/>
      <c r="AA35" s="70"/>
      <c r="AB35" s="70"/>
      <c r="AC35" s="70"/>
      <c r="AD35" s="70"/>
      <c r="AE35" s="70"/>
      <c r="AF35" s="70"/>
      <c r="AG35" s="70"/>
      <c r="AH35" s="70"/>
      <c r="AI35" s="70"/>
    </row>
    <row r="36" spans="1:35">
      <c r="A36" s="363"/>
      <c r="B36" s="3"/>
      <c r="C36" s="3"/>
      <c r="D36" s="3"/>
      <c r="E36" s="366"/>
      <c r="F36" s="366"/>
      <c r="G36" s="3"/>
      <c r="H36" s="3"/>
      <c r="I36" s="140"/>
      <c r="J36" s="141"/>
      <c r="K36" s="100"/>
      <c r="L36" s="3"/>
      <c r="M36" s="3"/>
      <c r="N36" s="3"/>
      <c r="O36" s="3"/>
      <c r="P36" s="3"/>
      <c r="S36" s="70"/>
      <c r="T36" s="70"/>
      <c r="U36" s="70"/>
      <c r="V36" s="70"/>
      <c r="W36" s="70"/>
      <c r="X36" s="70"/>
      <c r="Y36" s="70"/>
      <c r="Z36" s="70"/>
      <c r="AA36" s="70"/>
      <c r="AB36" s="70"/>
      <c r="AC36" s="70"/>
      <c r="AD36" s="70"/>
      <c r="AE36" s="70"/>
      <c r="AF36" s="70"/>
      <c r="AG36" s="70"/>
      <c r="AH36" s="70"/>
      <c r="AI36" s="70"/>
    </row>
    <row r="37" spans="1:35">
      <c r="A37" s="363"/>
      <c r="B37" s="3"/>
      <c r="C37" s="3"/>
      <c r="D37" s="3"/>
      <c r="E37" s="366"/>
      <c r="F37" s="366"/>
      <c r="G37" s="3"/>
      <c r="H37" s="3"/>
      <c r="I37" s="3"/>
      <c r="J37" s="3"/>
      <c r="K37" s="3"/>
      <c r="L37" s="3"/>
      <c r="M37" s="3"/>
      <c r="N37" s="3"/>
      <c r="O37" s="3"/>
      <c r="P37" s="3"/>
      <c r="S37" s="70"/>
      <c r="T37" s="70"/>
      <c r="U37" s="70"/>
      <c r="V37" s="70"/>
      <c r="W37" s="70"/>
      <c r="X37" s="70"/>
      <c r="Y37" s="70"/>
      <c r="Z37" s="70"/>
      <c r="AA37" s="70"/>
      <c r="AB37" s="70"/>
      <c r="AC37" s="70"/>
      <c r="AD37" s="70"/>
      <c r="AE37" s="70"/>
      <c r="AF37" s="70"/>
      <c r="AG37" s="70"/>
      <c r="AH37" s="70"/>
      <c r="AI37" s="70"/>
    </row>
    <row r="38" spans="1:35">
      <c r="A38" s="363"/>
      <c r="B38" s="3"/>
      <c r="C38" s="3"/>
      <c r="D38" s="3"/>
      <c r="E38" s="366"/>
      <c r="F38" s="366"/>
      <c r="G38" s="3"/>
      <c r="H38" s="3"/>
      <c r="I38" s="3"/>
      <c r="J38" s="3"/>
      <c r="K38" s="3"/>
      <c r="L38" s="3"/>
      <c r="M38" s="3"/>
      <c r="N38" s="3"/>
      <c r="O38" s="3"/>
      <c r="P38" s="3"/>
      <c r="S38" s="70"/>
      <c r="T38" s="70"/>
      <c r="U38" s="70"/>
      <c r="V38" s="70"/>
      <c r="W38" s="70"/>
      <c r="X38" s="70"/>
      <c r="Y38" s="70"/>
      <c r="Z38" s="70"/>
      <c r="AA38" s="70"/>
      <c r="AB38" s="70"/>
      <c r="AC38" s="70"/>
      <c r="AD38" s="70"/>
      <c r="AE38" s="70"/>
      <c r="AF38" s="70"/>
      <c r="AG38" s="70"/>
      <c r="AH38" s="70"/>
      <c r="AI38" s="70"/>
    </row>
    <row r="39" spans="1:35">
      <c r="A39" s="363"/>
      <c r="B39" s="3"/>
      <c r="C39" s="3"/>
      <c r="D39" s="3"/>
      <c r="E39" s="366"/>
      <c r="F39" s="366"/>
      <c r="G39" s="3"/>
      <c r="H39" s="3"/>
      <c r="I39" s="3"/>
      <c r="J39" s="3"/>
      <c r="K39" s="3"/>
      <c r="L39" s="3"/>
      <c r="M39" s="3"/>
      <c r="N39" s="3"/>
      <c r="O39" s="3"/>
      <c r="P39" s="3"/>
      <c r="S39" s="63"/>
      <c r="T39" s="63"/>
      <c r="U39" s="63"/>
      <c r="V39" s="63"/>
      <c r="W39" s="63"/>
      <c r="X39" s="63"/>
      <c r="Y39" s="63"/>
      <c r="Z39" s="63"/>
      <c r="AA39" s="63"/>
      <c r="AB39" s="63"/>
    </row>
    <row r="40" spans="1:35">
      <c r="S40" s="63"/>
      <c r="T40" s="63"/>
      <c r="U40" s="63"/>
      <c r="V40" s="63"/>
      <c r="W40" s="63"/>
      <c r="X40" s="63"/>
      <c r="Y40" s="63"/>
      <c r="Z40" s="63"/>
      <c r="AA40" s="63"/>
      <c r="AB40" s="63"/>
    </row>
    <row r="41" spans="1:35">
      <c r="S41" s="63"/>
      <c r="T41" s="63"/>
      <c r="U41" s="63"/>
      <c r="V41" s="63"/>
      <c r="W41" s="63"/>
      <c r="X41" s="63"/>
      <c r="Y41" s="63"/>
      <c r="Z41" s="63"/>
      <c r="AA41" s="63"/>
      <c r="AB41" s="63"/>
    </row>
    <row r="42" spans="1:35">
      <c r="S42" s="63"/>
      <c r="T42" s="63"/>
      <c r="U42" s="63"/>
      <c r="V42" s="63"/>
      <c r="W42" s="63"/>
      <c r="X42" s="63"/>
      <c r="Y42" s="63"/>
      <c r="Z42" s="63"/>
      <c r="AA42" s="63"/>
      <c r="AB42" s="63"/>
    </row>
    <row r="43" spans="1:35">
      <c r="S43" s="63"/>
      <c r="T43" s="63"/>
      <c r="U43" s="63"/>
      <c r="V43" s="63"/>
      <c r="W43" s="63"/>
      <c r="X43" s="63"/>
      <c r="Y43" s="63"/>
      <c r="Z43" s="63"/>
      <c r="AA43" s="63"/>
      <c r="AB43" s="63"/>
    </row>
  </sheetData>
  <mergeCells count="49">
    <mergeCell ref="B22:D22"/>
    <mergeCell ref="G21:K21"/>
    <mergeCell ref="B21:D21"/>
    <mergeCell ref="M9:Q9"/>
    <mergeCell ref="C3:D3"/>
    <mergeCell ref="E4:L4"/>
    <mergeCell ref="N3:P3"/>
    <mergeCell ref="M8:Q8"/>
    <mergeCell ref="G8:K8"/>
    <mergeCell ref="C8:E8"/>
    <mergeCell ref="C9:E9"/>
    <mergeCell ref="G9:K9"/>
    <mergeCell ref="E18:K18"/>
    <mergeCell ref="B19:D19"/>
    <mergeCell ref="B20:D20"/>
    <mergeCell ref="G20:K20"/>
    <mergeCell ref="L28:P28"/>
    <mergeCell ref="L20:Q20"/>
    <mergeCell ref="L21:Q21"/>
    <mergeCell ref="L22:Q22"/>
    <mergeCell ref="L27:P27"/>
    <mergeCell ref="L23:Q23"/>
    <mergeCell ref="L24:Q24"/>
    <mergeCell ref="B30:D31"/>
    <mergeCell ref="E30:G31"/>
    <mergeCell ref="H30:K31"/>
    <mergeCell ref="B23:D23"/>
    <mergeCell ref="B24:D24"/>
    <mergeCell ref="B28:E28"/>
    <mergeCell ref="F28:K28"/>
    <mergeCell ref="G23:K23"/>
    <mergeCell ref="F27:K27"/>
    <mergeCell ref="G24:K24"/>
    <mergeCell ref="G26:K26"/>
    <mergeCell ref="B27:E27"/>
    <mergeCell ref="G25:K25"/>
    <mergeCell ref="B25:D25"/>
    <mergeCell ref="B26:D26"/>
    <mergeCell ref="L19:Q19"/>
    <mergeCell ref="L26:Q26"/>
    <mergeCell ref="G22:K22"/>
    <mergeCell ref="G19:H19"/>
    <mergeCell ref="I19:J19"/>
    <mergeCell ref="L25:Q25"/>
    <mergeCell ref="B2:Q2"/>
    <mergeCell ref="D5:N5"/>
    <mergeCell ref="F6:K6"/>
    <mergeCell ref="E3:K3"/>
    <mergeCell ref="C4:D4"/>
  </mergeCells>
  <phoneticPr fontId="23" type="noConversion"/>
  <conditionalFormatting sqref="C4:D4">
    <cfRule type="cellIs" dxfId="11" priority="56" stopIfTrue="1" operator="equal">
      <formula>"C"</formula>
    </cfRule>
    <cfRule type="cellIs" dxfId="10" priority="57" stopIfTrue="1" operator="equal">
      <formula>"B2"</formula>
    </cfRule>
    <cfRule type="cellIs" dxfId="9" priority="58" stopIfTrue="1" operator="equal">
      <formula>"B1"</formula>
    </cfRule>
  </conditionalFormatting>
  <conditionalFormatting sqref="G20:G26">
    <cfRule type="cellIs" dxfId="8" priority="62" stopIfTrue="1" operator="between">
      <formula>0</formula>
      <formula>0.599</formula>
    </cfRule>
    <cfRule type="cellIs" dxfId="7" priority="63" stopIfTrue="1" operator="between">
      <formula>0.6</formula>
      <formula>0.899</formula>
    </cfRule>
    <cfRule type="cellIs" dxfId="6" priority="64" stopIfTrue="1" operator="greaterThanOrEqual">
      <formula>0.9</formula>
    </cfRule>
  </conditionalFormatting>
  <pageMargins left="0.70866141732283472" right="0.70866141732283472" top="0.74803149606299213" bottom="0.74803149606299213" header="0.31496062992125984" footer="0.31496062992125984"/>
  <pageSetup paperSize="256" scale="55" fitToHeight="0" orientation="portrait" r:id="rId1"/>
  <headerFooter alignWithMargins="0">
    <oddFooter>&amp;L&amp;F&amp;C&amp;A&amp;RV1.0          &amp;D</oddFooter>
  </headerFooter>
  <rowBreaks count="1" manualBreakCount="1">
    <brk id="26" max="1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27"/>
    <pageSetUpPr fitToPage="1"/>
  </sheetPr>
  <dimension ref="A1:T39"/>
  <sheetViews>
    <sheetView showGridLines="0" view="pageBreakPreview" zoomScale="75" zoomScaleNormal="90" zoomScaleSheetLayoutView="75" workbookViewId="0">
      <selection activeCell="U12" sqref="U12"/>
    </sheetView>
  </sheetViews>
  <sheetFormatPr defaultRowHeight="11.25"/>
  <cols>
    <col min="1" max="1" width="1.140625" style="30" customWidth="1"/>
    <col min="2" max="2" width="19.28515625" style="30" customWidth="1"/>
    <col min="3" max="3" width="1.140625" style="30" customWidth="1"/>
    <col min="4" max="4" width="17.140625" style="30" customWidth="1"/>
    <col min="5" max="5" width="17.5703125" style="30" customWidth="1"/>
    <col min="6" max="6" width="9.7109375" style="30" customWidth="1"/>
    <col min="7" max="7" width="38.140625" style="30" customWidth="1"/>
    <col min="8" max="8" width="4.28515625" style="30" customWidth="1"/>
    <col min="9" max="9" width="15.85546875" style="30" customWidth="1"/>
    <col min="10" max="10" width="3.5703125" style="30" customWidth="1"/>
    <col min="11" max="11" width="7.5703125" style="31" customWidth="1"/>
    <col min="12" max="12" width="14.28515625" style="30" customWidth="1"/>
    <col min="13" max="13" width="12" style="30" customWidth="1"/>
    <col min="14" max="14" width="5.42578125" style="30" customWidth="1"/>
    <col min="15" max="15" width="2.5703125" style="30" customWidth="1"/>
    <col min="16" max="16384" width="9.140625" style="30"/>
  </cols>
  <sheetData>
    <row r="1" spans="1:15" ht="38.25" customHeight="1">
      <c r="A1" s="144"/>
      <c r="B1" s="144"/>
      <c r="C1" s="144"/>
      <c r="D1" s="144"/>
      <c r="E1" s="144"/>
      <c r="F1" s="144"/>
      <c r="G1" s="144"/>
      <c r="H1" s="144"/>
      <c r="I1" s="144"/>
      <c r="J1" s="144"/>
      <c r="K1" s="145"/>
      <c r="L1" s="144"/>
      <c r="M1" s="144"/>
      <c r="N1" s="144"/>
    </row>
    <row r="2" spans="1:15" customFormat="1" ht="27.75" customHeight="1">
      <c r="A2" s="3"/>
      <c r="B2" s="812" t="str">
        <f>+"Tabel Programatic de evaluare:  "&amp;"  "&amp;IF(+'Introducerea datelor'!C4="Please Select","",'Introducerea datelor'!C4&amp;" - ")&amp;IF('Introducerea datelor'!G6="Please Select","",'Introducerea datelor'!G6)</f>
        <v>Tabel Programatic de evaluare:    Moldova - TB</v>
      </c>
      <c r="C2" s="812"/>
      <c r="D2" s="812"/>
      <c r="E2" s="812"/>
      <c r="F2" s="812"/>
      <c r="G2" s="812"/>
      <c r="H2" s="812"/>
      <c r="I2" s="812"/>
      <c r="J2" s="812"/>
      <c r="K2" s="812"/>
      <c r="L2" s="812"/>
      <c r="M2" s="812"/>
      <c r="N2" s="812"/>
      <c r="O2" s="72"/>
    </row>
    <row r="3" spans="1:15" customFormat="1" ht="18.75">
      <c r="A3" s="3"/>
      <c r="B3" s="127" t="str">
        <f>+IF('Introducerea datelor'!G8="Please Select","",'Introducerea datelor'!G8)</f>
        <v/>
      </c>
      <c r="C3" s="791" t="str">
        <f>+IF('Introducerea datelor'!I8="Please Select","",'Introducerea datelor'!I8)</f>
        <v>Period 1</v>
      </c>
      <c r="D3" s="791"/>
      <c r="E3" s="352"/>
      <c r="F3" s="352"/>
      <c r="G3" s="352"/>
      <c r="H3" s="352"/>
      <c r="I3" s="352"/>
      <c r="J3" s="352"/>
      <c r="K3" s="352"/>
      <c r="L3" s="127" t="str">
        <f>+'Introducerea datelor'!B16</f>
        <v>Perioada de Raportare:</v>
      </c>
      <c r="M3" s="160" t="str">
        <f>+'Introducerea datelor'!C16</f>
        <v>P5</v>
      </c>
      <c r="N3" s="160"/>
      <c r="O3" s="30"/>
    </row>
    <row r="4" spans="1:15" customFormat="1" ht="15">
      <c r="A4" s="3"/>
      <c r="B4" s="127" t="str">
        <f>+'Introducerea datelor'!B12</f>
        <v>Ultimul Rating:</v>
      </c>
      <c r="C4" s="815" t="str">
        <f>+IF('Introducerea datelor'!C12="Please Select","",'Introducerea datelor'!C12)</f>
        <v>A2</v>
      </c>
      <c r="D4" s="815"/>
      <c r="E4" s="790" t="str">
        <f>+'Introducerea datelor'!C8</f>
        <v>IP UCIMP DS</v>
      </c>
      <c r="F4" s="790"/>
      <c r="G4" s="790"/>
      <c r="H4" s="790"/>
      <c r="I4" s="790"/>
      <c r="J4" s="790"/>
      <c r="K4" s="790"/>
      <c r="L4" s="127" t="str">
        <f>+'Introducerea datelor'!D16</f>
        <v>De la:</v>
      </c>
      <c r="M4" s="161">
        <f>+IF(ISBLANK('Introducerea datelor'!E16),"",'Introducerea datelor'!E16)</f>
        <v>42917</v>
      </c>
      <c r="N4" s="161"/>
      <c r="O4" s="30"/>
    </row>
    <row r="5" spans="1:15" customFormat="1" ht="18.75" customHeight="1">
      <c r="A5" s="3"/>
      <c r="B5" s="127"/>
      <c r="C5" s="127"/>
      <c r="D5" s="128"/>
      <c r="E5" s="790" t="str">
        <f>+'Introducerea datelor'!G4</f>
        <v>Consolidarea controlului Tuberculozei în Republica Moldova</v>
      </c>
      <c r="F5" s="790"/>
      <c r="G5" s="790"/>
      <c r="H5" s="790"/>
      <c r="I5" s="790"/>
      <c r="J5" s="790"/>
      <c r="K5" s="790"/>
      <c r="L5" s="127" t="str">
        <f>+'Introducerea datelor'!F16</f>
        <v>Pînă la:</v>
      </c>
      <c r="M5" s="161">
        <f>+IF(ISBLANK('Introducerea datelor'!G16),"",'Introducerea datelor'!G16)</f>
        <v>43100</v>
      </c>
      <c r="N5" s="161"/>
    </row>
    <row r="6" spans="1:15" customFormat="1" ht="22.5" customHeight="1">
      <c r="A6" s="3"/>
      <c r="B6" s="132"/>
      <c r="C6" s="133"/>
      <c r="D6" s="134"/>
      <c r="E6" s="887" t="s">
        <v>394</v>
      </c>
      <c r="F6" s="887"/>
      <c r="G6" s="887"/>
      <c r="H6" s="887"/>
      <c r="I6" s="887"/>
      <c r="J6" s="887"/>
      <c r="K6" s="887"/>
      <c r="L6" s="2"/>
      <c r="M6" s="2"/>
      <c r="N6" s="2"/>
    </row>
    <row r="7" spans="1:15" s="32" customFormat="1" ht="4.5" customHeight="1">
      <c r="A7" s="146"/>
      <c r="B7" s="147"/>
      <c r="C7" s="147"/>
      <c r="D7" s="147"/>
      <c r="E7" s="147"/>
      <c r="F7" s="147"/>
      <c r="G7" s="147"/>
      <c r="H7" s="147"/>
      <c r="I7" s="147"/>
      <c r="J7" s="147"/>
      <c r="K7" s="147"/>
      <c r="L7" s="148"/>
      <c r="M7" s="148"/>
      <c r="N7" s="149"/>
    </row>
    <row r="8" spans="1:15" s="32" customFormat="1" ht="21" customHeight="1" thickBot="1">
      <c r="A8" s="146"/>
      <c r="B8" s="886" t="s">
        <v>400</v>
      </c>
      <c r="C8" s="886"/>
      <c r="D8" s="886"/>
      <c r="E8" s="886"/>
      <c r="F8" s="886"/>
      <c r="G8" s="886"/>
      <c r="H8" s="886"/>
      <c r="I8" s="886"/>
      <c r="J8" s="886"/>
      <c r="K8" s="886"/>
      <c r="L8" s="886"/>
      <c r="M8" s="886"/>
      <c r="N8" s="886"/>
    </row>
    <row r="9" spans="1:15" s="32" customFormat="1" ht="3.75" customHeight="1" thickBot="1">
      <c r="A9" s="146"/>
      <c r="B9" s="147"/>
      <c r="C9" s="147"/>
      <c r="D9" s="147"/>
      <c r="E9" s="147"/>
      <c r="F9" s="147"/>
      <c r="G9" s="147"/>
      <c r="H9" s="147"/>
      <c r="I9" s="147"/>
      <c r="J9" s="147"/>
      <c r="K9" s="147"/>
      <c r="L9" s="148"/>
      <c r="M9" s="148"/>
      <c r="N9" s="149"/>
    </row>
    <row r="10" spans="1:15" s="33" customFormat="1" ht="25.5" customHeight="1" thickBot="1">
      <c r="A10" s="150"/>
      <c r="B10" s="863" t="s">
        <v>395</v>
      </c>
      <c r="C10" s="864"/>
      <c r="D10" s="865" t="s">
        <v>396</v>
      </c>
      <c r="E10" s="866"/>
      <c r="F10" s="866"/>
      <c r="G10" s="867"/>
      <c r="H10" s="151"/>
      <c r="I10" s="865" t="s">
        <v>394</v>
      </c>
      <c r="J10" s="866"/>
      <c r="K10" s="866"/>
      <c r="L10" s="866"/>
      <c r="M10" s="866"/>
      <c r="N10" s="867"/>
    </row>
    <row r="11" spans="1:15" s="33" customFormat="1" ht="37.5" customHeight="1">
      <c r="A11" s="150"/>
      <c r="B11" s="372" t="s">
        <v>58</v>
      </c>
      <c r="C11" s="373"/>
      <c r="D11" s="876" t="str">
        <f>IF(ISBLANK(Financiar!C9),"",(Financiar!C9))</f>
        <v>Catre 31 decembrie 2017, au fost debursați 7 919 803,5 EURO, inclusiv 2 578 990,5 EURO în perioada raportată.</v>
      </c>
      <c r="E11" s="876"/>
      <c r="F11" s="876"/>
      <c r="G11" s="877"/>
      <c r="H11" s="447"/>
      <c r="I11" s="868"/>
      <c r="J11" s="869"/>
      <c r="K11" s="869"/>
      <c r="L11" s="869"/>
      <c r="M11" s="869"/>
      <c r="N11" s="870"/>
    </row>
    <row r="12" spans="1:15" s="33" customFormat="1" ht="252.75" customHeight="1">
      <c r="A12" s="150"/>
      <c r="B12" s="376" t="s">
        <v>59</v>
      </c>
      <c r="C12" s="377"/>
      <c r="D12" s="871" t="str">
        <f>IF(ISBLANK(Financiar!C23),"",(Financiar!C23))</f>
        <v xml:space="preserve">Cumulativ pentru înreaga perioadă de realizare a Grantului, în 
cadrul activităților din Obiectivul I, au fost valorificati 2935430,52 EUR față de 2935430,52 EUR bugetați (93,7%).
În cadrul activităților din Obiectivul II, au fost valorificati 4026738,65 EUR față de 4305987,92 EUR bugetați (93,5%).
În cadrul activităților din Obiectivul V, au fost valorificati 229938,58 EUR față de 276154,04 EUR bugetați (83,6%).
În cadrul activităților Managementului Proiectului, au fost valorificati 447510,94 EUR față de 441257,60 EUR bugetați (101,4%). 
</v>
      </c>
      <c r="E12" s="871"/>
      <c r="F12" s="871"/>
      <c r="G12" s="872"/>
      <c r="H12" s="447"/>
      <c r="I12" s="868"/>
      <c r="J12" s="869"/>
      <c r="K12" s="869"/>
      <c r="L12" s="869"/>
      <c r="M12" s="869"/>
      <c r="N12" s="870"/>
    </row>
    <row r="13" spans="1:15" s="33" customFormat="1" ht="271.5" customHeight="1">
      <c r="A13" s="150"/>
      <c r="B13" s="376" t="s">
        <v>60</v>
      </c>
      <c r="C13" s="377"/>
      <c r="D13" s="871" t="str">
        <f>IF(ISBLANK(Financiar!I9),"",(Financiar!I9))</f>
        <v>Cheltuielile și debursările Recipientului Principal pentru perioada raportată au constituit 2.758.833,41 EURO. Cumulativ, pentru întreaga perioadă de realizare a Grantului, au fost cheltuiți 7.482.136,43 EURO față de 7.957.827,08 EURO bugetați, ceea ce constituie 94%. Variația înregistrată se datorează: în mare parte, prețurilor și cantităților mai mici pentru medicamentele antituberculoase destinate tratamentului TB MDR și EDR (2.216.790,55 EURO); prețurilor mai mici decât cele bugetate pentru echipamentul de laborator (50.304,45 EURO); cantităților mai mici de consumabile pentru izolarea tulpinilor, culturi lichide și teste de sensibilitate pentru tehnica MGIT (50.354,92 EURO).</v>
      </c>
      <c r="E13" s="871"/>
      <c r="F13" s="871"/>
      <c r="G13" s="872"/>
      <c r="H13" s="447"/>
      <c r="I13" s="868"/>
      <c r="J13" s="869"/>
      <c r="K13" s="869"/>
      <c r="L13" s="869"/>
      <c r="M13" s="869"/>
      <c r="N13" s="870"/>
    </row>
    <row r="14" spans="1:15" s="33" customFormat="1" ht="52.5" customHeight="1" thickBot="1">
      <c r="A14" s="150"/>
      <c r="B14" s="374" t="s">
        <v>61</v>
      </c>
      <c r="C14" s="375"/>
      <c r="D14" s="878" t="str">
        <f>IF(ISBLANK(Financiar!I23),"",(Financiar!I23))</f>
        <v xml:space="preserve">Raportul de progres standard către Secretariatul Fondului Global pentru anul 2016 a fost remis donatorului pentru examinare la 20 martie 2017. </v>
      </c>
      <c r="E14" s="878"/>
      <c r="F14" s="878"/>
      <c r="G14" s="879"/>
      <c r="H14" s="447"/>
      <c r="I14" s="888"/>
      <c r="J14" s="889"/>
      <c r="K14" s="889"/>
      <c r="L14" s="889"/>
      <c r="M14" s="889"/>
      <c r="N14" s="890"/>
    </row>
    <row r="15" spans="1:15" s="33" customFormat="1" ht="4.5" customHeight="1">
      <c r="A15" s="150"/>
      <c r="B15" s="155"/>
      <c r="C15" s="156"/>
      <c r="D15" s="448"/>
      <c r="E15" s="448"/>
      <c r="F15" s="448"/>
      <c r="G15" s="448"/>
      <c r="H15" s="447"/>
      <c r="I15" s="449"/>
      <c r="J15" s="449"/>
      <c r="K15" s="449"/>
      <c r="L15" s="449"/>
      <c r="M15" s="449"/>
      <c r="N15" s="449"/>
      <c r="O15" s="74"/>
    </row>
    <row r="16" spans="1:15" s="32" customFormat="1" ht="21" customHeight="1" thickBot="1">
      <c r="A16" s="146"/>
      <c r="B16" s="886" t="s">
        <v>399</v>
      </c>
      <c r="C16" s="886"/>
      <c r="D16" s="886"/>
      <c r="E16" s="886"/>
      <c r="F16" s="886"/>
      <c r="G16" s="886"/>
      <c r="H16" s="886"/>
      <c r="I16" s="886"/>
      <c r="J16" s="886"/>
      <c r="K16" s="886"/>
      <c r="L16" s="886"/>
      <c r="M16" s="886"/>
      <c r="N16" s="886"/>
    </row>
    <row r="17" spans="1:20" s="33" customFormat="1" ht="3.75" customHeight="1" thickBot="1">
      <c r="A17" s="150"/>
      <c r="B17" s="450"/>
      <c r="C17" s="153"/>
      <c r="D17" s="451"/>
      <c r="E17" s="452"/>
      <c r="F17" s="453"/>
      <c r="G17" s="453"/>
      <c r="H17" s="454"/>
      <c r="I17" s="154"/>
      <c r="J17" s="455"/>
      <c r="K17" s="456"/>
      <c r="L17" s="457"/>
      <c r="M17" s="152"/>
      <c r="N17" s="458"/>
    </row>
    <row r="18" spans="1:20" s="33" customFormat="1" ht="22.5" customHeight="1" thickBot="1">
      <c r="A18" s="150"/>
      <c r="B18" s="861" t="s">
        <v>57</v>
      </c>
      <c r="C18" s="862"/>
      <c r="D18" s="880" t="s">
        <v>396</v>
      </c>
      <c r="E18" s="881"/>
      <c r="F18" s="881"/>
      <c r="G18" s="882"/>
      <c r="H18" s="459"/>
      <c r="I18" s="873" t="s">
        <v>394</v>
      </c>
      <c r="J18" s="874"/>
      <c r="K18" s="874"/>
      <c r="L18" s="874"/>
      <c r="M18" s="875"/>
      <c r="N18" s="875"/>
    </row>
    <row r="19" spans="1:20" s="33" customFormat="1" ht="37.5" customHeight="1">
      <c r="A19" s="150"/>
      <c r="B19" s="378" t="s">
        <v>66</v>
      </c>
      <c r="C19" s="379"/>
      <c r="D19" s="894" t="str">
        <f>IF(ISBLANK(Management!C8),"",(Management!C8))</f>
        <v>Toate cele trei condiții precedente stipulate în Acordul de Grant au fost îndeplinite.</v>
      </c>
      <c r="E19" s="894"/>
      <c r="F19" s="894"/>
      <c r="G19" s="895"/>
      <c r="H19" s="460"/>
      <c r="I19" s="900"/>
      <c r="J19" s="901"/>
      <c r="K19" s="901"/>
      <c r="L19" s="901"/>
      <c r="M19" s="901"/>
      <c r="N19" s="902"/>
    </row>
    <row r="20" spans="1:20" ht="47.25" customHeight="1">
      <c r="A20" s="144"/>
      <c r="B20" s="382" t="s">
        <v>67</v>
      </c>
      <c r="C20" s="383"/>
      <c r="D20" s="871" t="str">
        <f>IF(ISBLANK(Management!I8),"",(Management!I8))</f>
        <v>Toate posturile în cadrul echipei ce gestionează Grantul TB al Noului Mecanism de Finanțare sunt ocupate.</v>
      </c>
      <c r="E20" s="871" t="e">
        <f>+'Introducerea datelor'!D72/'Introducerea datelor'!G72</f>
        <v>#DIV/0!</v>
      </c>
      <c r="F20" s="871" t="e">
        <f>+('Introducerea datelor'!E72+'Introducerea datelor'!F72)/'Introducerea datelor'!G72</f>
        <v>#DIV/0!</v>
      </c>
      <c r="G20" s="896"/>
      <c r="H20" s="460"/>
      <c r="I20" s="891"/>
      <c r="J20" s="892"/>
      <c r="K20" s="892"/>
      <c r="L20" s="892"/>
      <c r="M20" s="892"/>
      <c r="N20" s="893"/>
      <c r="O20" s="34"/>
    </row>
    <row r="21" spans="1:20" ht="90.75" customHeight="1">
      <c r="A21" s="144"/>
      <c r="B21" s="384" t="s">
        <v>68</v>
      </c>
      <c r="C21" s="383"/>
      <c r="D21" s="871" t="str">
        <f>IF(ISBLANK(Management!C16),"",(Management!C16))</f>
        <v>Contractul de Sub-recipient cu IMSP IFP ”Chiril Draganiuc” a fost semnat la 24 iulie 2015 pentru realizarea activităților de colectare a sputei din teritorii către laboratoarele de referință în bacteriologia tuberculozei; transportatrea în teritorii a medicamenetelor de linia a doua și a treia pentru tratamentul pacienților cu TB DR; realizarea vizitelor de monitorizare și evaluare a activităților antituberculoase în teritorii și realizarea cursurilor de instruire.</v>
      </c>
      <c r="E21" s="871"/>
      <c r="F21" s="871"/>
      <c r="G21" s="896"/>
      <c r="H21" s="460"/>
      <c r="I21" s="891"/>
      <c r="J21" s="892"/>
      <c r="K21" s="892"/>
      <c r="L21" s="892"/>
      <c r="M21" s="892"/>
      <c r="N21" s="893"/>
      <c r="O21" s="34"/>
    </row>
    <row r="22" spans="1:20" ht="46.5" customHeight="1">
      <c r="A22" s="144"/>
      <c r="B22" s="384" t="s">
        <v>69</v>
      </c>
      <c r="C22" s="383"/>
      <c r="D22" s="871" t="str">
        <f>IF(ISBLANK(Management!I16),"",(Management!I16))</f>
        <v>În perioada raportată, Sub-Recipientul a prezentat, în conformitate cu Acordul, două rapoarte trimestriale și raportul cumulativ anual pentru 2017.</v>
      </c>
      <c r="E22" s="871"/>
      <c r="F22" s="871"/>
      <c r="G22" s="896"/>
      <c r="H22" s="460"/>
      <c r="I22" s="891"/>
      <c r="J22" s="892"/>
      <c r="K22" s="892"/>
      <c r="L22" s="892"/>
      <c r="M22" s="892"/>
      <c r="N22" s="893"/>
      <c r="O22" s="34"/>
    </row>
    <row r="23" spans="1:20" ht="43.5" customHeight="1">
      <c r="A23" s="144"/>
      <c r="B23" s="384" t="s">
        <v>70</v>
      </c>
      <c r="C23" s="383"/>
      <c r="D23" s="871" t="str">
        <f>IF(ISBLANK(Management!C27),"",(Management!C27))</f>
        <v>RP avea la 31 decembrie 2017 angajamente semnate pentru livrarea medicamentelor in suma de 1 594 928,51 USD.</v>
      </c>
      <c r="E23" s="871"/>
      <c r="F23" s="871"/>
      <c r="G23" s="896"/>
      <c r="H23" s="460"/>
      <c r="I23" s="891"/>
      <c r="J23" s="892"/>
      <c r="K23" s="892"/>
      <c r="L23" s="892"/>
      <c r="M23" s="892"/>
      <c r="N23" s="893"/>
      <c r="O23" s="34"/>
    </row>
    <row r="24" spans="1:20" ht="60" customHeight="1" thickBot="1">
      <c r="A24" s="144"/>
      <c r="B24" s="380" t="s">
        <v>71</v>
      </c>
      <c r="C24" s="381"/>
      <c r="D24" s="884" t="str">
        <f>IF(ISBLANK(Management!I27),"",(Management!I27))</f>
        <v>Evaluarea stocului de medicamente de linia a II și a III, disponibile la nivel central, precum si a livrarilor planificate arata prezența unui stock buffer între 6 și 12 de luni ce previne riscul lipsei de preparate.</v>
      </c>
      <c r="E24" s="884"/>
      <c r="F24" s="884"/>
      <c r="G24" s="885"/>
      <c r="H24" s="460"/>
      <c r="I24" s="903"/>
      <c r="J24" s="904"/>
      <c r="K24" s="904"/>
      <c r="L24" s="904"/>
      <c r="M24" s="904"/>
      <c r="N24" s="905"/>
      <c r="O24" s="34"/>
      <c r="T24" s="424"/>
    </row>
    <row r="25" spans="1:20" ht="4.5" customHeight="1">
      <c r="A25" s="146"/>
      <c r="B25" s="461"/>
      <c r="C25" s="462"/>
      <c r="D25" s="463"/>
      <c r="E25" s="464"/>
      <c r="F25" s="465"/>
      <c r="G25" s="465"/>
      <c r="H25" s="459"/>
      <c r="I25" s="464"/>
      <c r="J25" s="466"/>
      <c r="K25" s="456"/>
      <c r="L25" s="457"/>
      <c r="M25" s="152"/>
      <c r="N25" s="458"/>
      <c r="O25" s="34"/>
    </row>
    <row r="26" spans="1:20" s="32" customFormat="1" ht="21" customHeight="1" thickBot="1">
      <c r="A26" s="146"/>
      <c r="B26" s="886" t="s">
        <v>398</v>
      </c>
      <c r="C26" s="886"/>
      <c r="D26" s="886"/>
      <c r="E26" s="886"/>
      <c r="F26" s="886"/>
      <c r="G26" s="886"/>
      <c r="H26" s="886"/>
      <c r="I26" s="886"/>
      <c r="J26" s="886"/>
      <c r="K26" s="886"/>
      <c r="L26" s="886"/>
      <c r="M26" s="886"/>
      <c r="N26" s="886"/>
      <c r="R26" s="425"/>
    </row>
    <row r="27" spans="1:20" ht="3.75" customHeight="1" thickBot="1">
      <c r="A27" s="146"/>
      <c r="B27" s="461"/>
      <c r="C27" s="462"/>
      <c r="D27" s="463"/>
      <c r="E27" s="464"/>
      <c r="F27" s="465"/>
      <c r="G27" s="465"/>
      <c r="H27" s="459"/>
      <c r="I27" s="464"/>
      <c r="J27" s="466"/>
      <c r="K27" s="456"/>
      <c r="L27" s="457"/>
      <c r="M27" s="152"/>
      <c r="N27" s="458"/>
      <c r="O27" s="34"/>
    </row>
    <row r="28" spans="1:20" ht="21.75" customHeight="1" thickBot="1">
      <c r="A28" s="144"/>
      <c r="B28" s="883" t="s">
        <v>397</v>
      </c>
      <c r="C28" s="862"/>
      <c r="D28" s="897" t="s">
        <v>396</v>
      </c>
      <c r="E28" s="898"/>
      <c r="F28" s="898"/>
      <c r="G28" s="899"/>
      <c r="H28" s="459"/>
      <c r="I28" s="897" t="s">
        <v>394</v>
      </c>
      <c r="J28" s="898"/>
      <c r="K28" s="898"/>
      <c r="L28" s="898"/>
      <c r="M28" s="898"/>
      <c r="N28" s="899"/>
      <c r="O28" s="34"/>
    </row>
    <row r="29" spans="1:20" ht="86.25" hidden="1" customHeight="1">
      <c r="A29" s="144"/>
      <c r="B29" s="467" t="s">
        <v>244</v>
      </c>
      <c r="C29" s="468"/>
      <c r="D29" s="916" t="str">
        <f>IF(ISBLANK(Programatic!C9),"",(Programatic!C9))</f>
        <v xml:space="preserve">Date preliminare pentru anul 2017. 319 persoane au decedat de tuberculoză în anul 2017 (7,9 decese la 100 000 persoane). 
</v>
      </c>
      <c r="E29" s="917"/>
      <c r="F29" s="917"/>
      <c r="G29" s="918"/>
      <c r="H29" s="460"/>
      <c r="I29" s="910"/>
      <c r="J29" s="911"/>
      <c r="K29" s="911"/>
      <c r="L29" s="911"/>
      <c r="M29" s="911"/>
      <c r="N29" s="912"/>
      <c r="O29" s="34"/>
    </row>
    <row r="30" spans="1:20" ht="87" hidden="1" customHeight="1">
      <c r="A30" s="144"/>
      <c r="B30" s="469" t="s">
        <v>245</v>
      </c>
      <c r="C30" s="470"/>
      <c r="D30" s="909" t="str">
        <f>IF(ISBLANK(Programatic!G9),"",(Programatic!G9))</f>
        <v xml:space="preserve">Date preliminare pentru anul 2017. 260 cazuri noi de tuberculoză cu cultura pozitivă, testate la sensibilitate pentru preparatele de linia I, din 1 065 investigate în 2017, au fost diagnosticate cu MDR.
</v>
      </c>
      <c r="E30" s="907"/>
      <c r="F30" s="907"/>
      <c r="G30" s="908"/>
      <c r="H30" s="460"/>
      <c r="I30" s="913"/>
      <c r="J30" s="914"/>
      <c r="K30" s="914"/>
      <c r="L30" s="914"/>
      <c r="M30" s="914"/>
      <c r="N30" s="915"/>
      <c r="O30" s="34"/>
    </row>
    <row r="31" spans="1:20" ht="75" hidden="1" customHeight="1">
      <c r="A31" s="144"/>
      <c r="B31" s="469" t="s">
        <v>246</v>
      </c>
      <c r="C31" s="470"/>
      <c r="D31" s="909" t="str">
        <f>IF(ISBLANK(Programatic!M9),"",(Programatic!M9))</f>
        <v xml:space="preserve">Date preliminare pentru cohorta MDR-TB 2014. 461 cazuri confirmate de TB MDR, din 928 incluse în tratmentul DOTS Plus în anul 2014, au fost tratate cu succes (vindecate și cu tratamente încheiate).                                                                                          
</v>
      </c>
      <c r="E31" s="907"/>
      <c r="F31" s="907"/>
      <c r="G31" s="908"/>
      <c r="H31" s="460"/>
      <c r="I31" s="913"/>
      <c r="J31" s="914"/>
      <c r="K31" s="914"/>
      <c r="L31" s="914"/>
      <c r="M31" s="914"/>
      <c r="N31" s="915"/>
      <c r="O31" s="34"/>
    </row>
    <row r="32" spans="1:20" ht="94.5" customHeight="1">
      <c r="A32" s="144"/>
      <c r="B32" s="471" t="s">
        <v>62</v>
      </c>
      <c r="C32" s="470"/>
      <c r="D32" s="906" t="str">
        <f>IF(ISBLANK(Programatic!L20),"",(Programatic!L20))</f>
        <v xml:space="preserve">Date preliminare pentru anul 2017. 319 persoane au decedat de tuberculoză în anul 2017 (7,9 decese la 100 000 persoane). 
Notă - Ținta a fost atinsă. Se constată o micșorare cu 14,2% a ratei de mortalitate față de datele anului 2016 (372 cazuri de deces cauzate de tuberculoză), cu 21,8% a ratei de mortalitate față de datele anului 2015 (408 cazuri de deces cauzate de tuberculoză), cu 37,2% a ratei de mortalitate față de datele anului 2014 (508 cazuri de deces cauzate de tuberculoză) și cu 30% față de datele anului 2013 (456 cazuri de deces cauzate de tuberculoză). </v>
      </c>
      <c r="E32" s="907"/>
      <c r="F32" s="907"/>
      <c r="G32" s="908"/>
      <c r="H32" s="460"/>
      <c r="I32" s="913"/>
      <c r="J32" s="914"/>
      <c r="K32" s="914"/>
      <c r="L32" s="914"/>
      <c r="M32" s="914"/>
      <c r="N32" s="915"/>
      <c r="O32" s="34"/>
    </row>
    <row r="33" spans="1:15" ht="87" customHeight="1">
      <c r="A33" s="144"/>
      <c r="B33" s="471" t="s">
        <v>63</v>
      </c>
      <c r="C33" s="470"/>
      <c r="D33" s="906" t="str">
        <f>IF(ISBLANK(Programatic!L21),"",(Programatic!L21))</f>
        <v xml:space="preserve">Date preliminare pentru anul 2017. 260 cazuri noi de tuberculoză cu cultura pozitivă, testate la sensibilitate pentru preparatele de linia I, din 1 065 investigate în 2017, au fost diagnosticate cu MDR.
Notă - Se constată menținerea unei rate înalte a TB MDR printre cazurile noi, situație caracteristică ultimilor ani. </v>
      </c>
      <c r="E33" s="907"/>
      <c r="F33" s="907"/>
      <c r="G33" s="908"/>
      <c r="H33" s="460"/>
      <c r="I33" s="913"/>
      <c r="J33" s="914"/>
      <c r="K33" s="914"/>
      <c r="L33" s="914"/>
      <c r="M33" s="914"/>
      <c r="N33" s="915"/>
      <c r="O33" s="34"/>
    </row>
    <row r="34" spans="1:15" ht="199.5" customHeight="1">
      <c r="A34" s="144"/>
      <c r="B34" s="471" t="s">
        <v>64</v>
      </c>
      <c r="C34" s="470"/>
      <c r="D34" s="906" t="str">
        <f>IF(ISBLANK(Programatic!L22),"",(Programatic!L22))</f>
        <v xml:space="preserve">Date preliminare pentru cohorta MDR-TB 2014. 461 cazuri confirmate de TB MDR, din 928 incluse în tratmentul DOTS Plus în anul 2014, au fost tratate cu succes (vindecate și cu tratamente încheiate).                                                                                  
Notă - Totodată, rata de eșec înregistrată a fost de 15,5% (144/928), rata de abandon de 20,1% (186/928) și rata de deces de 14,3% (133/928). În același timp, analiza ratei succesului pe diferite categorii de pacienți a arătat o diferență între cazurile noi și cele de retratament. Astfel, rata de succes printre cazurile noi TB a constituit 63,4% (258/407), atunci cînd printre cele de retratament - 38,9% (203/521). De asemenea, rata de eșec înregistrată printre cazurile noi a fost de 9,8% (40/407) și printre retratamente - 19,9% (104/521); rata de abandon - 14,7% (60/407) și 24,2% (126/521) respectiv; și rata de deces - 11,8% (48/407) și 16,3% (85/521) respectiv. La fel, stratificarea rezultatului de tratament printre cazurile anterior tratate arată o rată de succes de 50,7% (111/219) printre recidive, 26,3% (42/160) printre cazurile revenite după abandon și 22,4% (15/67) printre cazurile după eșec.  </v>
      </c>
      <c r="E34" s="907"/>
      <c r="F34" s="907"/>
      <c r="G34" s="908"/>
      <c r="H34" s="460"/>
      <c r="I34" s="913"/>
      <c r="J34" s="914"/>
      <c r="K34" s="914"/>
      <c r="L34" s="914"/>
      <c r="M34" s="914"/>
      <c r="N34" s="915"/>
      <c r="O34" s="34"/>
    </row>
    <row r="35" spans="1:15" ht="107.25" customHeight="1">
      <c r="A35" s="144"/>
      <c r="B35" s="471" t="s">
        <v>65</v>
      </c>
      <c r="C35" s="472"/>
      <c r="D35" s="906" t="str">
        <f>IF(ISBLANK(Programatic!L23),"",(Programatic!L23))</f>
        <v xml:space="preserve">Date preliminare pentru anul 2017. 3 358 cazuri de tuberculoză (toate formele, bacteriologic confirmate și diagnosticate clinic, cazuri noi și recidive) au fost notificate către autoritatea națională în anul 2017.                                                                                                      Notă - Se constată o descreștere continuă a ratei de notificare înregistrate, precum urmează: cu 6% comparativ cu datele anului 2016 (88,63 per 100 000), cu 7% comparativ cu 2015 (89,5 per 100 000), cu 10% comparativ cu 2014 (92,5 per 100 000), cu 14,7% comparativ cu 2013 (97,6 per 100 000) și cu 18,9% comparativ cu anul 2012 (102,7 per 100 000).    </v>
      </c>
      <c r="E35" s="907"/>
      <c r="F35" s="907"/>
      <c r="G35" s="908"/>
      <c r="H35" s="460"/>
      <c r="I35" s="913"/>
      <c r="J35" s="914"/>
      <c r="K35" s="914"/>
      <c r="L35" s="914"/>
      <c r="M35" s="914"/>
      <c r="N35" s="915"/>
      <c r="O35" s="34"/>
    </row>
    <row r="36" spans="1:15" ht="82.5" customHeight="1">
      <c r="A36" s="144"/>
      <c r="B36" s="471" t="s">
        <v>72</v>
      </c>
      <c r="C36" s="472"/>
      <c r="D36" s="906" t="str">
        <f>IF(ISBLANK(Programatic!L24),"",(Programatic!L24))</f>
        <v xml:space="preserve">Date finale pentru anul 2016. 1 031 pacienți cu tuberculoză drog-rezistentă (RR-TB și/sau MDR-TB), confirmate bacteriologic, au fost notificate, față de 868 cazuri estimate pentru perioada raportată.                                                    
Notă - Reducerea numărului de pacienți MDR TB notificați este în directă corespundere cu scăderea incidenței TB.                                                                                                                </v>
      </c>
      <c r="E36" s="907"/>
      <c r="F36" s="907"/>
      <c r="G36" s="908"/>
      <c r="H36" s="460"/>
      <c r="I36" s="913"/>
      <c r="J36" s="914"/>
      <c r="K36" s="914"/>
      <c r="L36" s="914"/>
      <c r="M36" s="914"/>
      <c r="N36" s="915"/>
      <c r="O36" s="34"/>
    </row>
    <row r="37" spans="1:15" ht="102" customHeight="1">
      <c r="A37" s="144"/>
      <c r="B37" s="471" t="s">
        <v>73</v>
      </c>
      <c r="C37" s="472"/>
      <c r="D37" s="906" t="str">
        <f>IF(ISBLANK(Programatic!L25),"",(Programatic!L25))</f>
        <v xml:space="preserve">Date preliminare pentru anul 2017. 976 (și anume: 257 în Q1.2017, 251 în Q2.2017, 231 în Q3.2017 și 237 în Q4.2017) cu tuberculoză drog-rezistentă (RR-TB și/sau MDR-TB), confirmate bacteriologic, au demarat tratamentul DOTS-Plus în anul 2017, față de 730 pacienți preconizați pentru perioada raportată.                                                           Notă - Ținta a fost depășită din cauza includerii în tratamentul DOTS Plus a unui număr adițional de pacienți MDR TB în locul cazurilor de eșec, mortalitate sau pierdute din supraveghere înregistrate.       </v>
      </c>
      <c r="E37" s="907"/>
      <c r="F37" s="907"/>
      <c r="G37" s="908"/>
      <c r="H37" s="460"/>
      <c r="I37" s="913"/>
      <c r="J37" s="914"/>
      <c r="K37" s="914"/>
      <c r="L37" s="914"/>
      <c r="M37" s="914"/>
      <c r="N37" s="915"/>
      <c r="O37" s="34"/>
    </row>
    <row r="38" spans="1:15" ht="162.75" customHeight="1">
      <c r="A38" s="144"/>
      <c r="B38" s="471" t="s">
        <v>74</v>
      </c>
      <c r="C38" s="472"/>
      <c r="D38" s="906" t="str">
        <f>IF(ISBLANK(Programatic!L26),"",(Programatic!L26))</f>
        <v xml:space="preserve">Date finale pentru cohorta anului 2016. 103 pacienți din 1 039 incluși în tratamentul DOTS Plus în anul 2016, au abandonat tratamentul către luna a 6 de la demararea tratamentului DOTS Plus.                    
Notă - Analiza cazurilor care au abandonat tratamentul pentru DR-TB ne arată că există o diferență a ratei abandonului printre diferite categorii de pacienți. Astfel, rata interimară de abandon printre cazurile noi de pacienți cu DR-TB aflați în tratament a constituit doar 7% (31/444), pe când printre cazurile de retratamente aceasta a constituit 12% (70/583). Totodată, analizând rata interimară de abandon printre cazurile anterior tratate de pacienții cu DR-TB, se observă că aceasta, la fel, s-a deosebit la diferite tipuri de pacienți: dacă la cazurile după eșec aceasta a fost de 7.3% (15/205), atunci  printre recidive a ajuns la 10,1% (24/237) și printre cazurile după abandon - la 22% (31/141). </v>
      </c>
      <c r="E38" s="907"/>
      <c r="F38" s="907"/>
      <c r="G38" s="908"/>
      <c r="H38" s="460"/>
      <c r="I38" s="913"/>
      <c r="J38" s="914"/>
      <c r="K38" s="914"/>
      <c r="L38" s="914"/>
      <c r="M38" s="914"/>
      <c r="N38" s="915"/>
      <c r="O38" s="34"/>
    </row>
    <row r="39" spans="1:15" ht="178.5" customHeight="1"/>
  </sheetData>
  <mergeCells count="58">
    <mergeCell ref="D38:G38"/>
    <mergeCell ref="I29:N29"/>
    <mergeCell ref="I30:N30"/>
    <mergeCell ref="I31:N31"/>
    <mergeCell ref="I32:N32"/>
    <mergeCell ref="I33:N33"/>
    <mergeCell ref="D37:G37"/>
    <mergeCell ref="D36:G36"/>
    <mergeCell ref="I34:N34"/>
    <mergeCell ref="I35:N35"/>
    <mergeCell ref="I36:N36"/>
    <mergeCell ref="I37:N37"/>
    <mergeCell ref="I38:N38"/>
    <mergeCell ref="D34:G34"/>
    <mergeCell ref="D29:G29"/>
    <mergeCell ref="D35:G35"/>
    <mergeCell ref="D32:G32"/>
    <mergeCell ref="D30:G30"/>
    <mergeCell ref="D31:G31"/>
    <mergeCell ref="D33:G33"/>
    <mergeCell ref="D20:G20"/>
    <mergeCell ref="D19:G19"/>
    <mergeCell ref="D21:G21"/>
    <mergeCell ref="D22:G22"/>
    <mergeCell ref="I28:N28"/>
    <mergeCell ref="I19:N19"/>
    <mergeCell ref="I24:N24"/>
    <mergeCell ref="I20:N20"/>
    <mergeCell ref="D23:G23"/>
    <mergeCell ref="D28:G28"/>
    <mergeCell ref="B28:C28"/>
    <mergeCell ref="D24:G24"/>
    <mergeCell ref="B26:N26"/>
    <mergeCell ref="B2:N2"/>
    <mergeCell ref="E5:K5"/>
    <mergeCell ref="E6:K6"/>
    <mergeCell ref="C4:D4"/>
    <mergeCell ref="E4:K4"/>
    <mergeCell ref="C3:D3"/>
    <mergeCell ref="I14:N14"/>
    <mergeCell ref="I21:N21"/>
    <mergeCell ref="I22:N22"/>
    <mergeCell ref="I23:N23"/>
    <mergeCell ref="B16:N16"/>
    <mergeCell ref="B8:N8"/>
    <mergeCell ref="I10:N10"/>
    <mergeCell ref="B18:C18"/>
    <mergeCell ref="B10:C10"/>
    <mergeCell ref="D10:G10"/>
    <mergeCell ref="I12:N12"/>
    <mergeCell ref="D12:G12"/>
    <mergeCell ref="I11:N11"/>
    <mergeCell ref="I18:N18"/>
    <mergeCell ref="D11:G11"/>
    <mergeCell ref="D13:G13"/>
    <mergeCell ref="I13:N13"/>
    <mergeCell ref="D14:G14"/>
    <mergeCell ref="D18:G18"/>
  </mergeCells>
  <phoneticPr fontId="23"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256" scale="52" fitToHeight="0" orientation="portrait" r:id="rId1"/>
  <headerFooter alignWithMargins="0">
    <oddFooter>&amp;L&amp;F&amp;C&amp;A&amp;RV1.0          &amp;D</oddFooter>
  </headerFooter>
  <rowBreaks count="1" manualBreakCount="1">
    <brk id="2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27"/>
    <pageSetUpPr fitToPage="1"/>
  </sheetPr>
  <dimension ref="A1:M43"/>
  <sheetViews>
    <sheetView showGridLines="0" view="pageBreakPreview" topLeftCell="A19" zoomScaleNormal="100" zoomScaleSheetLayoutView="100" workbookViewId="0">
      <selection activeCell="P9" sqref="P9"/>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765" t="str">
        <f>+"Tabel Programatic de Evaluare:  "&amp;"  "&amp;IF(+'Introducerea datelor'!C4="Please Select","",'Introducerea datelor'!C4&amp;" - ")&amp;IF('Introducerea datelor'!G6="Please Select","",'Introducerea datelor'!G6)</f>
        <v>Tabel Programatic de Evaluare:    Moldova - TB</v>
      </c>
      <c r="C2" s="765"/>
      <c r="D2" s="765"/>
      <c r="E2" s="765"/>
      <c r="F2" s="765"/>
      <c r="G2" s="765"/>
      <c r="H2" s="765"/>
      <c r="I2" s="765"/>
      <c r="J2" s="765"/>
      <c r="K2" s="765"/>
      <c r="L2" s="765"/>
    </row>
    <row r="3" spans="1:13">
      <c r="B3" s="23" t="str">
        <f>+IF('Introducerea datelor'!G8="Please Select","",'Introducerea datelor'!G8)</f>
        <v/>
      </c>
      <c r="C3" s="770" t="str">
        <f>+IF('Introducerea datelor'!I8="Please Select","",'Introducerea datelor'!I8)</f>
        <v>Period 1</v>
      </c>
      <c r="D3" s="770"/>
      <c r="E3" s="768"/>
      <c r="F3" s="768"/>
      <c r="G3" s="768"/>
      <c r="H3" s="768"/>
      <c r="I3" s="768"/>
      <c r="J3" s="769" t="str">
        <f>+'Introducerea datelor'!B16</f>
        <v>Perioada de Raportare:</v>
      </c>
      <c r="K3" s="769"/>
      <c r="L3" s="160" t="str">
        <f>+'Introducerea datelor'!C16</f>
        <v>P5</v>
      </c>
      <c r="M3" s="84"/>
    </row>
    <row r="4" spans="1:13">
      <c r="B4" s="23" t="str">
        <f>+'Introducerea datelor'!B12</f>
        <v>Ultimul Rating:</v>
      </c>
      <c r="C4" s="968" t="str">
        <f>+IF('Introducerea datelor'!C12="Please Select","",'Introducerea datelor'!C12)</f>
        <v>A2</v>
      </c>
      <c r="D4" s="968"/>
      <c r="E4" s="768" t="str">
        <f>+'Introducerea datelor'!C8</f>
        <v>IP UCIMP DS</v>
      </c>
      <c r="F4" s="768"/>
      <c r="G4" s="768"/>
      <c r="H4" s="768"/>
      <c r="I4" s="768"/>
      <c r="J4" s="769" t="str">
        <f>+'Introducerea datelor'!D16</f>
        <v>De la:</v>
      </c>
      <c r="K4" s="771"/>
      <c r="L4" s="161">
        <f>+IF(ISBLANK('Introducerea datelor'!E16),"",'Introducerea datelor'!E16)</f>
        <v>42917</v>
      </c>
    </row>
    <row r="5" spans="1:13" ht="18.75" customHeight="1">
      <c r="B5" s="23"/>
      <c r="C5" s="23"/>
      <c r="D5" s="768" t="str">
        <f>+'Introducerea datelor'!G4</f>
        <v>Consolidarea controlului Tuberculozei în Republica Moldova</v>
      </c>
      <c r="E5" s="768"/>
      <c r="F5" s="768"/>
      <c r="G5" s="768"/>
      <c r="H5" s="768"/>
      <c r="I5" s="768"/>
      <c r="J5" s="768"/>
      <c r="K5" s="23" t="str">
        <f>+'Introducerea datelor'!F16</f>
        <v>Pînă la:</v>
      </c>
      <c r="L5" s="161">
        <f>+IF(ISBLANK('Introducerea datelor'!G16),"",'Introducerea datelor'!G16)</f>
        <v>43100</v>
      </c>
    </row>
    <row r="6" spans="1:13" ht="18.75">
      <c r="B6" s="22"/>
      <c r="C6" s="23"/>
      <c r="D6" s="24"/>
      <c r="E6" s="767" t="s">
        <v>401</v>
      </c>
      <c r="F6" s="767"/>
      <c r="G6" s="767"/>
      <c r="H6" s="767"/>
      <c r="I6" s="767"/>
    </row>
    <row r="7" spans="1:13" ht="18.75">
      <c r="E7" s="71"/>
      <c r="F7" s="71"/>
      <c r="G7" s="71"/>
      <c r="H7" s="71"/>
      <c r="I7" s="71"/>
    </row>
    <row r="8" spans="1:13" s="32" customFormat="1" ht="21" customHeight="1" thickBot="1">
      <c r="B8" s="75" t="s">
        <v>402</v>
      </c>
      <c r="C8" s="75"/>
      <c r="D8" s="75"/>
      <c r="E8" s="75"/>
      <c r="F8" s="75"/>
      <c r="G8" s="75"/>
      <c r="H8" s="75"/>
      <c r="I8" s="75"/>
      <c r="J8" s="75"/>
      <c r="K8" s="75"/>
      <c r="L8" s="75"/>
    </row>
    <row r="9" spans="1:13" ht="6" customHeight="1">
      <c r="B9" s="73"/>
    </row>
    <row r="10" spans="1:13" ht="18" customHeight="1">
      <c r="B10" s="974"/>
      <c r="C10" s="975"/>
      <c r="D10" s="975"/>
      <c r="E10" s="975"/>
      <c r="F10" s="975"/>
      <c r="G10" s="975"/>
      <c r="H10" s="975"/>
      <c r="I10" s="975"/>
      <c r="J10" s="975"/>
      <c r="K10" s="975"/>
      <c r="L10" s="976"/>
    </row>
    <row r="11" spans="1:13" ht="18" customHeight="1">
      <c r="B11" s="977"/>
      <c r="C11" s="978"/>
      <c r="D11" s="978"/>
      <c r="E11" s="978"/>
      <c r="F11" s="978"/>
      <c r="G11" s="978"/>
      <c r="H11" s="978"/>
      <c r="I11" s="978"/>
      <c r="J11" s="978"/>
      <c r="K11" s="978"/>
      <c r="L11" s="979"/>
    </row>
    <row r="12" spans="1:13" ht="15.75" thickBot="1"/>
    <row r="13" spans="1:13" ht="26.25" customHeight="1" thickBot="1">
      <c r="B13" s="970" t="s">
        <v>430</v>
      </c>
      <c r="C13" s="971"/>
      <c r="D13" s="971"/>
      <c r="E13" s="972"/>
      <c r="F13" s="76"/>
      <c r="G13" s="980" t="s">
        <v>403</v>
      </c>
      <c r="H13" s="949"/>
      <c r="I13" s="949"/>
      <c r="J13" s="77" t="s">
        <v>404</v>
      </c>
      <c r="K13" s="949" t="s">
        <v>405</v>
      </c>
      <c r="L13" s="950"/>
    </row>
    <row r="14" spans="1:13" ht="18.75" customHeight="1">
      <c r="A14" s="919" t="s">
        <v>406</v>
      </c>
      <c r="B14" s="965"/>
      <c r="C14" s="966"/>
      <c r="D14" s="966"/>
      <c r="E14" s="967"/>
      <c r="F14" s="45"/>
      <c r="G14" s="964"/>
      <c r="H14" s="952"/>
      <c r="I14" s="952"/>
      <c r="J14" s="952"/>
      <c r="K14" s="952"/>
      <c r="L14" s="969"/>
    </row>
    <row r="15" spans="1:13" ht="18.75" customHeight="1">
      <c r="A15" s="920"/>
      <c r="B15" s="956"/>
      <c r="C15" s="957"/>
      <c r="D15" s="957"/>
      <c r="E15" s="958"/>
      <c r="F15" s="45"/>
      <c r="G15" s="961"/>
      <c r="H15" s="939"/>
      <c r="I15" s="939"/>
      <c r="J15" s="939"/>
      <c r="K15" s="939"/>
      <c r="L15" s="940"/>
    </row>
    <row r="16" spans="1:13" ht="18.75" customHeight="1">
      <c r="A16" s="920"/>
      <c r="B16" s="953"/>
      <c r="C16" s="954"/>
      <c r="D16" s="954"/>
      <c r="E16" s="955"/>
      <c r="F16" s="45"/>
      <c r="G16" s="961"/>
      <c r="H16" s="939"/>
      <c r="I16" s="939"/>
      <c r="J16" s="939"/>
      <c r="K16" s="939"/>
      <c r="L16" s="940"/>
    </row>
    <row r="17" spans="1:12" ht="18.75" customHeight="1">
      <c r="A17" s="920"/>
      <c r="B17" s="956"/>
      <c r="C17" s="957"/>
      <c r="D17" s="957"/>
      <c r="E17" s="958"/>
      <c r="F17" s="45"/>
      <c r="G17" s="961"/>
      <c r="H17" s="939"/>
      <c r="I17" s="939"/>
      <c r="J17" s="939"/>
      <c r="K17" s="939"/>
      <c r="L17" s="940"/>
    </row>
    <row r="18" spans="1:12" ht="18.75" customHeight="1">
      <c r="A18" s="920"/>
      <c r="B18" s="953"/>
      <c r="C18" s="954"/>
      <c r="D18" s="954"/>
      <c r="E18" s="955"/>
      <c r="F18" s="45"/>
      <c r="G18" s="941"/>
      <c r="H18" s="942"/>
      <c r="I18" s="943"/>
      <c r="J18" s="939"/>
      <c r="K18" s="939"/>
      <c r="L18" s="940"/>
    </row>
    <row r="19" spans="1:12" ht="18.75" customHeight="1">
      <c r="A19" s="920"/>
      <c r="B19" s="956"/>
      <c r="C19" s="957"/>
      <c r="D19" s="957"/>
      <c r="E19" s="958"/>
      <c r="F19" s="45"/>
      <c r="G19" s="935"/>
      <c r="H19" s="936"/>
      <c r="I19" s="944"/>
      <c r="J19" s="939"/>
      <c r="K19" s="939"/>
      <c r="L19" s="940"/>
    </row>
    <row r="20" spans="1:12" ht="18.75" customHeight="1">
      <c r="A20" s="920"/>
      <c r="B20" s="959"/>
      <c r="C20" s="959"/>
      <c r="D20" s="959"/>
      <c r="E20" s="960"/>
      <c r="F20" s="45"/>
      <c r="G20" s="961"/>
      <c r="H20" s="939"/>
      <c r="I20" s="939"/>
      <c r="J20" s="939"/>
      <c r="K20" s="939"/>
      <c r="L20" s="940"/>
    </row>
    <row r="21" spans="1:12" ht="18.75" customHeight="1">
      <c r="A21" s="920"/>
      <c r="B21" s="959"/>
      <c r="C21" s="959"/>
      <c r="D21" s="959"/>
      <c r="E21" s="960"/>
      <c r="F21" s="45"/>
      <c r="G21" s="961"/>
      <c r="H21" s="939"/>
      <c r="I21" s="939"/>
      <c r="J21" s="939"/>
      <c r="K21" s="939"/>
      <c r="L21" s="940"/>
    </row>
    <row r="22" spans="1:12" ht="18.75" customHeight="1">
      <c r="A22" s="920"/>
      <c r="B22" s="959"/>
      <c r="C22" s="959"/>
      <c r="D22" s="959"/>
      <c r="E22" s="960"/>
      <c r="F22" s="45"/>
      <c r="G22" s="961"/>
      <c r="H22" s="939"/>
      <c r="I22" s="939"/>
      <c r="J22" s="939"/>
      <c r="K22" s="939"/>
      <c r="L22" s="940"/>
    </row>
    <row r="23" spans="1:12" ht="18.75" customHeight="1">
      <c r="A23" s="920"/>
      <c r="B23" s="959"/>
      <c r="C23" s="959"/>
      <c r="D23" s="959"/>
      <c r="E23" s="960"/>
      <c r="F23" s="45"/>
      <c r="G23" s="961"/>
      <c r="H23" s="939"/>
      <c r="I23" s="939"/>
      <c r="J23" s="939"/>
      <c r="K23" s="939"/>
      <c r="L23" s="940"/>
    </row>
    <row r="24" spans="1:12" ht="18.75" customHeight="1">
      <c r="A24" s="920"/>
      <c r="B24" s="959"/>
      <c r="C24" s="959"/>
      <c r="D24" s="959"/>
      <c r="E24" s="960"/>
      <c r="F24" s="45"/>
      <c r="G24" s="961"/>
      <c r="H24" s="939"/>
      <c r="I24" s="939"/>
      <c r="J24" s="939"/>
      <c r="K24" s="939"/>
      <c r="L24" s="940"/>
    </row>
    <row r="25" spans="1:12" ht="18.75" customHeight="1" thickBot="1">
      <c r="A25" s="921"/>
      <c r="B25" s="962"/>
      <c r="C25" s="962"/>
      <c r="D25" s="962"/>
      <c r="E25" s="963"/>
      <c r="F25" s="45"/>
      <c r="G25" s="981"/>
      <c r="H25" s="945"/>
      <c r="I25" s="945"/>
      <c r="J25" s="945"/>
      <c r="K25" s="945"/>
      <c r="L25" s="946"/>
    </row>
    <row r="27" spans="1:12" ht="18.75">
      <c r="E27" s="982" t="s">
        <v>407</v>
      </c>
      <c r="F27" s="982"/>
      <c r="G27" s="982"/>
      <c r="H27" s="982"/>
      <c r="I27" s="982"/>
    </row>
    <row r="28" spans="1:12" ht="6" customHeight="1">
      <c r="E28" s="71"/>
      <c r="F28" s="71"/>
      <c r="G28" s="71"/>
      <c r="H28" s="71"/>
      <c r="I28" s="71"/>
    </row>
    <row r="29" spans="1:12" s="32" customFormat="1" ht="21" customHeight="1" thickBot="1">
      <c r="B29" s="75" t="s">
        <v>408</v>
      </c>
      <c r="C29" s="75"/>
      <c r="D29" s="75"/>
      <c r="E29" s="75"/>
      <c r="F29" s="75"/>
      <c r="G29" s="75"/>
      <c r="H29" s="75"/>
      <c r="I29" s="75"/>
      <c r="J29" s="75"/>
      <c r="K29" s="75"/>
      <c r="L29" s="75"/>
    </row>
    <row r="30" spans="1:12" ht="6" customHeight="1" thickBot="1">
      <c r="B30" s="73"/>
    </row>
    <row r="31" spans="1:12" ht="38.25" customHeight="1" thickBot="1">
      <c r="B31" s="970" t="s">
        <v>403</v>
      </c>
      <c r="C31" s="971"/>
      <c r="D31" s="971"/>
      <c r="E31" s="972"/>
      <c r="F31" s="76"/>
      <c r="G31" s="980" t="s">
        <v>409</v>
      </c>
      <c r="H31" s="949"/>
      <c r="I31" s="949"/>
      <c r="J31" s="77" t="s">
        <v>410</v>
      </c>
      <c r="K31" s="949" t="s">
        <v>405</v>
      </c>
      <c r="L31" s="950"/>
    </row>
    <row r="32" spans="1:12" ht="16.5" customHeight="1">
      <c r="A32" s="919" t="s">
        <v>411</v>
      </c>
      <c r="B32" s="932"/>
      <c r="C32" s="933"/>
      <c r="D32" s="933"/>
      <c r="E32" s="934"/>
      <c r="F32" s="45"/>
      <c r="G32" s="973"/>
      <c r="H32" s="938"/>
      <c r="I32" s="938"/>
      <c r="J32" s="938"/>
      <c r="K32" s="938"/>
      <c r="L32" s="951"/>
    </row>
    <row r="33" spans="1:12" ht="16.5" customHeight="1">
      <c r="A33" s="920"/>
      <c r="B33" s="935"/>
      <c r="C33" s="936"/>
      <c r="D33" s="936"/>
      <c r="E33" s="937"/>
      <c r="F33" s="45"/>
      <c r="G33" s="928"/>
      <c r="H33" s="929"/>
      <c r="I33" s="929"/>
      <c r="J33" s="929"/>
      <c r="K33" s="929"/>
      <c r="L33" s="947"/>
    </row>
    <row r="34" spans="1:12" ht="16.5" customHeight="1">
      <c r="A34" s="920"/>
      <c r="B34" s="922" t="str">
        <f>IF(Recomandari!I39="","",Recomandari!I39)</f>
        <v/>
      </c>
      <c r="C34" s="923"/>
      <c r="D34" s="923"/>
      <c r="E34" s="924"/>
      <c r="F34" s="45"/>
      <c r="G34" s="928"/>
      <c r="H34" s="929"/>
      <c r="I34" s="929"/>
      <c r="J34" s="929"/>
      <c r="K34" s="929"/>
      <c r="L34" s="947"/>
    </row>
    <row r="35" spans="1:12" ht="16.5" customHeight="1">
      <c r="A35" s="920"/>
      <c r="B35" s="922"/>
      <c r="C35" s="923"/>
      <c r="D35" s="923"/>
      <c r="E35" s="924"/>
      <c r="F35" s="45"/>
      <c r="G35" s="928"/>
      <c r="H35" s="929"/>
      <c r="I35" s="929"/>
      <c r="J35" s="929"/>
      <c r="K35" s="929"/>
      <c r="L35" s="947"/>
    </row>
    <row r="36" spans="1:12" ht="16.5" customHeight="1">
      <c r="A36" s="920"/>
      <c r="B36" s="922" t="str">
        <f>+IF(Recomandari!I49="","",Recomandari!I49)</f>
        <v/>
      </c>
      <c r="C36" s="923"/>
      <c r="D36" s="923"/>
      <c r="E36" s="924"/>
      <c r="F36" s="45"/>
      <c r="G36" s="928"/>
      <c r="H36" s="929"/>
      <c r="I36" s="929"/>
      <c r="J36" s="929"/>
      <c r="K36" s="929"/>
      <c r="L36" s="947"/>
    </row>
    <row r="37" spans="1:12" ht="16.5" customHeight="1">
      <c r="A37" s="920"/>
      <c r="B37" s="922"/>
      <c r="C37" s="923"/>
      <c r="D37" s="923"/>
      <c r="E37" s="924"/>
      <c r="F37" s="45"/>
      <c r="G37" s="928"/>
      <c r="H37" s="929"/>
      <c r="I37" s="929"/>
      <c r="J37" s="929"/>
      <c r="K37" s="929"/>
      <c r="L37" s="947"/>
    </row>
    <row r="38" spans="1:12" ht="16.5" customHeight="1">
      <c r="A38" s="920"/>
      <c r="B38" s="922"/>
      <c r="C38" s="923"/>
      <c r="D38" s="923"/>
      <c r="E38" s="924"/>
      <c r="F38" s="45"/>
      <c r="G38" s="928"/>
      <c r="H38" s="929"/>
      <c r="I38" s="929"/>
      <c r="J38" s="929"/>
      <c r="K38" s="929"/>
      <c r="L38" s="947"/>
    </row>
    <row r="39" spans="1:12" ht="16.5" customHeight="1">
      <c r="A39" s="920"/>
      <c r="B39" s="922"/>
      <c r="C39" s="923"/>
      <c r="D39" s="923"/>
      <c r="E39" s="924"/>
      <c r="F39" s="45"/>
      <c r="G39" s="928"/>
      <c r="H39" s="929"/>
      <c r="I39" s="929"/>
      <c r="J39" s="929"/>
      <c r="K39" s="929"/>
      <c r="L39" s="947"/>
    </row>
    <row r="40" spans="1:12" ht="16.5" customHeight="1">
      <c r="A40" s="920"/>
      <c r="B40" s="922"/>
      <c r="C40" s="923"/>
      <c r="D40" s="923"/>
      <c r="E40" s="924"/>
      <c r="F40" s="45"/>
      <c r="G40" s="928"/>
      <c r="H40" s="929"/>
      <c r="I40" s="929"/>
      <c r="J40" s="929"/>
      <c r="K40" s="929"/>
      <c r="L40" s="947"/>
    </row>
    <row r="41" spans="1:12" ht="16.5" customHeight="1">
      <c r="A41" s="920"/>
      <c r="B41" s="922"/>
      <c r="C41" s="923"/>
      <c r="D41" s="923"/>
      <c r="E41" s="924"/>
      <c r="F41" s="45"/>
      <c r="G41" s="928"/>
      <c r="H41" s="929"/>
      <c r="I41" s="929"/>
      <c r="J41" s="929"/>
      <c r="K41" s="929"/>
      <c r="L41" s="947"/>
    </row>
    <row r="42" spans="1:12" ht="16.5" customHeight="1">
      <c r="A42" s="920"/>
      <c r="B42" s="922"/>
      <c r="C42" s="923"/>
      <c r="D42" s="923"/>
      <c r="E42" s="924"/>
      <c r="F42" s="45"/>
      <c r="G42" s="928"/>
      <c r="H42" s="929"/>
      <c r="I42" s="929"/>
      <c r="J42" s="929"/>
      <c r="K42" s="929"/>
      <c r="L42" s="947"/>
    </row>
    <row r="43" spans="1:12" ht="16.5" customHeight="1" thickBot="1">
      <c r="A43" s="921"/>
      <c r="B43" s="925"/>
      <c r="C43" s="926"/>
      <c r="D43" s="926"/>
      <c r="E43" s="927"/>
      <c r="F43" s="45"/>
      <c r="G43" s="930"/>
      <c r="H43" s="931"/>
      <c r="I43" s="931"/>
      <c r="J43" s="931"/>
      <c r="K43" s="931"/>
      <c r="L43" s="948"/>
    </row>
  </sheetData>
  <mergeCells count="67">
    <mergeCell ref="B10:L11"/>
    <mergeCell ref="K13:L13"/>
    <mergeCell ref="G13:I13"/>
    <mergeCell ref="G24:I25"/>
    <mergeCell ref="G31:I31"/>
    <mergeCell ref="J24:J25"/>
    <mergeCell ref="E27:I27"/>
    <mergeCell ref="B31:E31"/>
    <mergeCell ref="J38:J39"/>
    <mergeCell ref="B2:L2"/>
    <mergeCell ref="C4:D4"/>
    <mergeCell ref="K14:L15"/>
    <mergeCell ref="K16:L17"/>
    <mergeCell ref="E3:I3"/>
    <mergeCell ref="J3:K3"/>
    <mergeCell ref="E4:I4"/>
    <mergeCell ref="J4:K4"/>
    <mergeCell ref="E6:I6"/>
    <mergeCell ref="C3:D3"/>
    <mergeCell ref="D5:J5"/>
    <mergeCell ref="B13:E13"/>
    <mergeCell ref="J34:J35"/>
    <mergeCell ref="J36:J37"/>
    <mergeCell ref="G32:I33"/>
    <mergeCell ref="A14:A25"/>
    <mergeCell ref="J18:J19"/>
    <mergeCell ref="J16:J17"/>
    <mergeCell ref="J14:J15"/>
    <mergeCell ref="B16:E17"/>
    <mergeCell ref="B20:E21"/>
    <mergeCell ref="G20:I21"/>
    <mergeCell ref="G22:I23"/>
    <mergeCell ref="J20:J21"/>
    <mergeCell ref="B24:E25"/>
    <mergeCell ref="B22:E23"/>
    <mergeCell ref="G16:I17"/>
    <mergeCell ref="B18:E19"/>
    <mergeCell ref="G14:I15"/>
    <mergeCell ref="B14:E15"/>
    <mergeCell ref="J22:J23"/>
    <mergeCell ref="J42:J43"/>
    <mergeCell ref="G40:I41"/>
    <mergeCell ref="J32:J33"/>
    <mergeCell ref="K18:L19"/>
    <mergeCell ref="G18:I19"/>
    <mergeCell ref="K20:L21"/>
    <mergeCell ref="K22:L23"/>
    <mergeCell ref="K24:L25"/>
    <mergeCell ref="K34:L35"/>
    <mergeCell ref="K40:L41"/>
    <mergeCell ref="K42:L43"/>
    <mergeCell ref="K36:L37"/>
    <mergeCell ref="K31:L31"/>
    <mergeCell ref="K38:L39"/>
    <mergeCell ref="K32:L33"/>
    <mergeCell ref="J40:J41"/>
    <mergeCell ref="A32:A43"/>
    <mergeCell ref="B42:E43"/>
    <mergeCell ref="G42:I43"/>
    <mergeCell ref="G38:I39"/>
    <mergeCell ref="B38:E39"/>
    <mergeCell ref="B40:E41"/>
    <mergeCell ref="B34:E35"/>
    <mergeCell ref="G34:I35"/>
    <mergeCell ref="B36:E37"/>
    <mergeCell ref="G36:I37"/>
    <mergeCell ref="B32:E33"/>
  </mergeCells>
  <phoneticPr fontId="23"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256" scale="67" fitToHeight="0" orientation="portrait" r:id="rId1"/>
  <headerFooter alignWithMargins="0">
    <oddFooter>&amp;L&amp;F&amp;C&amp;A&amp;RV1.0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23</vt:i4>
      </vt:variant>
    </vt:vector>
  </HeadingPairs>
  <TitlesOfParts>
    <vt:vector size="34" baseType="lpstr">
      <vt:lpstr>Meniu</vt:lpstr>
      <vt:lpstr>Lista Indicatorilor</vt:lpstr>
      <vt:lpstr>Introducerea datelor</vt:lpstr>
      <vt:lpstr>Detail despre Grant</vt:lpstr>
      <vt:lpstr>Management</vt:lpstr>
      <vt:lpstr>Financiar</vt:lpstr>
      <vt:lpstr>Programatic</vt:lpstr>
      <vt:lpstr>Recomandari</vt:lpstr>
      <vt:lpstr>Actiuni</vt:lpstr>
      <vt:lpstr>Setup</vt:lpstr>
      <vt:lpstr>Sheet1</vt:lpstr>
      <vt:lpstr>Component</vt:lpstr>
      <vt:lpstr>Countries</vt:lpstr>
      <vt:lpstr>Currency</vt:lpstr>
      <vt:lpstr>LFA</vt:lpstr>
      <vt:lpstr>Medicaments</vt:lpstr>
      <vt:lpstr>PERIOD</vt:lpstr>
      <vt:lpstr>Phase</vt:lpstr>
      <vt:lpstr>Actiuni!Print_Area</vt:lpstr>
      <vt:lpstr>Financiar!Print_Area</vt:lpstr>
      <vt:lpstr>'Introducerea datelor'!Print_Area</vt:lpstr>
      <vt:lpstr>Management!Print_Area</vt:lpstr>
      <vt:lpstr>Programatic!Print_Area</vt:lpstr>
      <vt:lpstr>PrintA</vt:lpstr>
      <vt:lpstr>PrintDataF</vt:lpstr>
      <vt:lpstr>PrintDataM</vt:lpstr>
      <vt:lpstr>PrintF</vt:lpstr>
      <vt:lpstr>PrintGD</vt:lpstr>
      <vt:lpstr>Actiuni!PrintM</vt:lpstr>
      <vt:lpstr>PrintM</vt:lpstr>
      <vt:lpstr>PrintP</vt:lpstr>
      <vt:lpstr>PrintR</vt:lpstr>
      <vt:lpstr>Rating</vt:lpstr>
      <vt:lpstr>Round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2018-05-22T08:08:45Z</cp:lastPrinted>
  <dcterms:created xsi:type="dcterms:W3CDTF">2011-10-24T05:51:11Z</dcterms:created>
  <dcterms:modified xsi:type="dcterms:W3CDTF">2018-05-23T06:42:58Z</dcterms:modified>
</cp:coreProperties>
</file>