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Documents\2. M&amp;E_TB\Progress Reports_TB_Grants\To CCM\2021-2023\2023\CNE_year_2023\Final\"/>
    </mc:Choice>
  </mc:AlternateContent>
  <xr:revisionPtr revIDLastSave="0" documentId="13_ncr:1_{7CC3D812-216F-4728-A8F3-A5801023292A}" xr6:coauthVersionLast="47" xr6:coauthVersionMax="47" xr10:uidLastSave="{00000000-0000-0000-0000-000000000000}"/>
  <bookViews>
    <workbookView xWindow="-120" yWindow="-120" windowWidth="29040" windowHeight="15840" tabRatio="765" activeTab="2" xr2:uid="{00000000-000D-0000-FFFF-FFFF00000000}"/>
  </bookViews>
  <sheets>
    <sheet name="Meniu" sheetId="1" r:id="rId1"/>
    <sheet name="Lista Indicatorilor" sheetId="45" r:id="rId2"/>
    <sheet name="Introducerea datelor" sheetId="29" r:id="rId3"/>
    <sheet name="Detalii despre Grant" sheetId="27" r:id="rId4"/>
    <sheet name="Management" sheetId="35" r:id="rId5"/>
    <sheet name="Financiar" sheetId="30" r:id="rId6"/>
    <sheet name="Programatic" sheetId="37" r:id="rId7"/>
    <sheet name="Recomandări" sheetId="42" r:id="rId8"/>
    <sheet name="Acțiuni" sheetId="39" r:id="rId9"/>
    <sheet name="Setup" sheetId="32" state="hidden" r:id="rId10"/>
    <sheet name="Indicatori" sheetId="46" r:id="rId11"/>
  </sheets>
  <definedNames>
    <definedName name="_xlnm._FilterDatabase" localSheetId="2" hidden="1">'Introducerea datelor'!$B$122:$S$122</definedName>
    <definedName name="Component">Setup!$B$9:$B$14</definedName>
    <definedName name="Countries">Setup!$L$9:$L$143</definedName>
    <definedName name="Currency">Setup!$C$9:$C$11</definedName>
    <definedName name="Indicatori">'Introducerea datelor'!$G$122:$S$172</definedName>
    <definedName name="LFA">Setup!$J$9:$J$22</definedName>
    <definedName name="Medicaments">Setup!$K$9:$K$30</definedName>
    <definedName name="PERIOD">Setup!$F$9:$F$21</definedName>
    <definedName name="Phase">Setup!$E$9:$E$13</definedName>
    <definedName name="_xlnm.Print_Area" localSheetId="8">Acțiuni!$A$1:$L$43</definedName>
    <definedName name="_xlnm.Print_Area" localSheetId="5">Financiar!$A$2:$K$34</definedName>
    <definedName name="_xlnm.Print_Area" localSheetId="2">'Introducerea datelor'!$A$1:$O$179</definedName>
    <definedName name="_xlnm.Print_Area" localSheetId="4">Management!$A$2:$L$34</definedName>
    <definedName name="_xlnm.Print_Area" localSheetId="6">Programatic!$B$1:$R$59</definedName>
    <definedName name="PrintA">Acțiuni!$A$2:$L$34</definedName>
    <definedName name="PrintDataF">'Introducerea datelor'!$B$25:$J$71</definedName>
    <definedName name="PrintDataM">'Introducerea datelor'!$B$73:$H$117</definedName>
    <definedName name="PrintF">Financiar!$A$2:$K$31</definedName>
    <definedName name="PrintGD">'Detalii despre Grant'!$A$2:$J$13</definedName>
    <definedName name="PrintM" localSheetId="8">Acțiuni!$A$2:$L$6</definedName>
    <definedName name="PrintM">Management!$A$2:$L$36</definedName>
    <definedName name="PrintP">Programatic!$B$2:$Q$50</definedName>
    <definedName name="PrintR">Recomandări!$A$2:$N$38</definedName>
    <definedName name="Rating">Setup!$I$9:$I$14</definedName>
    <definedName name="Round">Setup!$D$9:$D$21</definedName>
  </definedNames>
  <calcPr calcId="181029"/>
</workbook>
</file>

<file path=xl/calcChain.xml><?xml version="1.0" encoding="utf-8"?>
<calcChain xmlns="http://schemas.openxmlformats.org/spreadsheetml/2006/main">
  <c r="D21" i="42" l="1"/>
  <c r="O31" i="29" a="1"/>
  <c r="O31" i="29"/>
  <c r="D61" i="29" l="1"/>
  <c r="C58" i="29" l="1"/>
  <c r="D58" i="29"/>
  <c r="D104" i="29" l="1"/>
  <c r="E104" i="29" s="1"/>
  <c r="F104" i="29" s="1"/>
  <c r="G104" i="29" s="1"/>
  <c r="H104" i="29" s="1"/>
  <c r="E39" i="29"/>
  <c r="F39" i="29"/>
  <c r="E40" i="29"/>
  <c r="F40" i="29"/>
  <c r="E41" i="29"/>
  <c r="F41" i="29"/>
  <c r="E42" i="29"/>
  <c r="F42" i="29"/>
  <c r="E43" i="29"/>
  <c r="F43" i="29"/>
  <c r="E44" i="29"/>
  <c r="F44" i="29"/>
  <c r="E45" i="29"/>
  <c r="F45" i="29"/>
  <c r="E46" i="29"/>
  <c r="F46" i="29"/>
  <c r="E47" i="29"/>
  <c r="F47" i="29"/>
  <c r="E48" i="29"/>
  <c r="F48" i="29"/>
  <c r="E49" i="29"/>
  <c r="F49" i="29"/>
  <c r="F50" i="29"/>
  <c r="E51" i="29"/>
  <c r="F51" i="29"/>
  <c r="B59" i="37" l="1"/>
  <c r="C59" i="37"/>
  <c r="B169" i="29"/>
  <c r="B171" i="29"/>
  <c r="E171" i="29"/>
  <c r="F171" i="29"/>
  <c r="C47" i="45"/>
  <c r="D47" i="45"/>
  <c r="E47" i="45"/>
  <c r="F47" i="45"/>
  <c r="C41" i="45"/>
  <c r="E16" i="29"/>
  <c r="C106" i="29" l="1"/>
  <c r="D106" i="29" s="1"/>
  <c r="E106" i="29" s="1"/>
  <c r="F106" i="29" s="1"/>
  <c r="G106" i="29" s="1"/>
  <c r="H106" i="29" s="1"/>
  <c r="C105" i="29"/>
  <c r="D105" i="29" s="1"/>
  <c r="E105" i="29" s="1"/>
  <c r="F105" i="29" s="1"/>
  <c r="G105" i="29" s="1"/>
  <c r="H105" i="29" s="1"/>
  <c r="C104" i="29"/>
  <c r="C34" i="29"/>
  <c r="C33" i="29"/>
  <c r="D33" i="29" s="1"/>
  <c r="E33" i="29" s="1"/>
  <c r="F33" i="29" s="1"/>
  <c r="G33" i="29" s="1"/>
  <c r="H33" i="29" s="1"/>
  <c r="D34" i="29"/>
  <c r="E34" i="29" s="1"/>
  <c r="F34" i="29" s="1"/>
  <c r="G34" i="29" s="1"/>
  <c r="B36" i="37" l="1"/>
  <c r="B37" i="37"/>
  <c r="B38" i="37"/>
  <c r="B39" i="37"/>
  <c r="B40" i="37"/>
  <c r="B41" i="37"/>
  <c r="B42" i="37"/>
  <c r="B43" i="37"/>
  <c r="B44" i="37"/>
  <c r="B45" i="37"/>
  <c r="B46" i="37"/>
  <c r="B47" i="37"/>
  <c r="B48" i="37"/>
  <c r="B49" i="37"/>
  <c r="B50" i="37"/>
  <c r="B51" i="37"/>
  <c r="B52" i="37"/>
  <c r="B53" i="37"/>
  <c r="B54" i="37"/>
  <c r="B55" i="37"/>
  <c r="B56" i="37"/>
  <c r="B57" i="37"/>
  <c r="B58" i="37"/>
  <c r="B35" i="37"/>
  <c r="C36" i="37"/>
  <c r="C37" i="37"/>
  <c r="C38" i="37"/>
  <c r="C39" i="37"/>
  <c r="C40" i="37"/>
  <c r="C41" i="37"/>
  <c r="C42" i="37"/>
  <c r="C43" i="37"/>
  <c r="C44" i="37"/>
  <c r="C45" i="37"/>
  <c r="C46" i="37"/>
  <c r="C47" i="37"/>
  <c r="C48" i="37"/>
  <c r="C49" i="37"/>
  <c r="C50" i="37"/>
  <c r="C51" i="37"/>
  <c r="C52" i="37"/>
  <c r="C53" i="37"/>
  <c r="C54" i="37"/>
  <c r="C55" i="37"/>
  <c r="C56" i="37"/>
  <c r="C57" i="37"/>
  <c r="C58" i="37"/>
  <c r="C35" i="37"/>
  <c r="C46" i="45"/>
  <c r="D46" i="45"/>
  <c r="E46" i="45"/>
  <c r="F46" i="45"/>
  <c r="F125" i="29" l="1"/>
  <c r="F127" i="29"/>
  <c r="F129" i="29"/>
  <c r="F131" i="29"/>
  <c r="F133" i="29"/>
  <c r="F135" i="29"/>
  <c r="F137" i="29"/>
  <c r="F139" i="29"/>
  <c r="F141" i="29"/>
  <c r="F143" i="29"/>
  <c r="F145" i="29"/>
  <c r="F147" i="29"/>
  <c r="F149" i="29"/>
  <c r="F151" i="29"/>
  <c r="F153" i="29"/>
  <c r="F155" i="29"/>
  <c r="F157" i="29"/>
  <c r="F159" i="29"/>
  <c r="F161" i="29"/>
  <c r="F163" i="29"/>
  <c r="F165" i="29"/>
  <c r="F167" i="29"/>
  <c r="F169" i="29"/>
  <c r="F123" i="29"/>
  <c r="D42" i="45"/>
  <c r="E42" i="45"/>
  <c r="F42" i="45"/>
  <c r="C42" i="45"/>
  <c r="E34" i="45"/>
  <c r="F34" i="45"/>
  <c r="E35" i="45"/>
  <c r="F35" i="45"/>
  <c r="E36" i="45"/>
  <c r="F36" i="45"/>
  <c r="E37" i="45"/>
  <c r="F37" i="45"/>
  <c r="E38" i="45"/>
  <c r="F38" i="45"/>
  <c r="E39" i="45"/>
  <c r="F39" i="45"/>
  <c r="E40" i="45"/>
  <c r="F40" i="45"/>
  <c r="E41" i="45"/>
  <c r="F41" i="45"/>
  <c r="E43" i="45"/>
  <c r="F43" i="45"/>
  <c r="E44" i="45"/>
  <c r="F44" i="45"/>
  <c r="E45" i="45"/>
  <c r="F45" i="45"/>
  <c r="E48" i="45"/>
  <c r="F48" i="45"/>
  <c r="E49" i="45"/>
  <c r="F49" i="45"/>
  <c r="E50" i="45"/>
  <c r="F50" i="45"/>
  <c r="E51" i="45"/>
  <c r="F51" i="45"/>
  <c r="E52" i="45"/>
  <c r="F52" i="45"/>
  <c r="E53" i="45"/>
  <c r="F53" i="45"/>
  <c r="E54" i="45"/>
  <c r="F54" i="45"/>
  <c r="E55" i="45"/>
  <c r="F55" i="45"/>
  <c r="E56" i="45"/>
  <c r="F56" i="45"/>
  <c r="E57" i="45"/>
  <c r="F57" i="45"/>
  <c r="E58" i="45"/>
  <c r="F58" i="45"/>
  <c r="E59" i="45"/>
  <c r="F59" i="45"/>
  <c r="D34" i="45"/>
  <c r="D35" i="45"/>
  <c r="D36" i="45"/>
  <c r="D37" i="45"/>
  <c r="D38" i="45"/>
  <c r="D39" i="45"/>
  <c r="D40" i="45"/>
  <c r="D41" i="45"/>
  <c r="D43" i="45"/>
  <c r="D44" i="45"/>
  <c r="D45" i="45"/>
  <c r="D48" i="45"/>
  <c r="D49" i="45"/>
  <c r="D50" i="45"/>
  <c r="D51" i="45"/>
  <c r="D52" i="45"/>
  <c r="D53" i="45"/>
  <c r="D54" i="45"/>
  <c r="D55" i="45"/>
  <c r="D56" i="45"/>
  <c r="D57" i="45"/>
  <c r="D58" i="45"/>
  <c r="D59" i="45"/>
  <c r="F33" i="45"/>
  <c r="E33" i="45"/>
  <c r="D33" i="45"/>
  <c r="C33" i="45"/>
  <c r="C34" i="45"/>
  <c r="C35" i="45"/>
  <c r="C36" i="45"/>
  <c r="C37" i="45"/>
  <c r="C38" i="45"/>
  <c r="C39" i="45"/>
  <c r="C40" i="45"/>
  <c r="C43" i="45"/>
  <c r="C44" i="45"/>
  <c r="C45" i="45"/>
  <c r="C48" i="45"/>
  <c r="C49" i="45"/>
  <c r="C50" i="45"/>
  <c r="C51" i="45"/>
  <c r="C52" i="45"/>
  <c r="C53" i="45"/>
  <c r="C54" i="45"/>
  <c r="C55" i="45"/>
  <c r="C56" i="45"/>
  <c r="C57" i="45"/>
  <c r="C58" i="45"/>
  <c r="C59" i="45"/>
  <c r="E125" i="29"/>
  <c r="E127" i="29"/>
  <c r="E129" i="29"/>
  <c r="E131" i="29"/>
  <c r="E133" i="29"/>
  <c r="E135" i="29"/>
  <c r="E137" i="29"/>
  <c r="E139" i="29"/>
  <c r="E141" i="29"/>
  <c r="E143" i="29"/>
  <c r="E145" i="29"/>
  <c r="E147" i="29"/>
  <c r="E149" i="29"/>
  <c r="E151" i="29"/>
  <c r="E153" i="29"/>
  <c r="E155" i="29"/>
  <c r="E157" i="29"/>
  <c r="E159" i="29"/>
  <c r="E161" i="29"/>
  <c r="E163" i="29"/>
  <c r="E165" i="29"/>
  <c r="E167" i="29"/>
  <c r="E169" i="29"/>
  <c r="E123" i="29"/>
  <c r="B167" i="29"/>
  <c r="B165" i="29"/>
  <c r="B163" i="29"/>
  <c r="B161" i="29"/>
  <c r="B159" i="29"/>
  <c r="B157" i="29"/>
  <c r="B155" i="29"/>
  <c r="B153" i="29"/>
  <c r="B151" i="29"/>
  <c r="B149" i="29"/>
  <c r="B147" i="29"/>
  <c r="B145" i="29"/>
  <c r="B143" i="29"/>
  <c r="B141" i="29"/>
  <c r="B139" i="29"/>
  <c r="B137" i="29"/>
  <c r="B125" i="29"/>
  <c r="B127" i="29"/>
  <c r="B129" i="29"/>
  <c r="B131" i="29"/>
  <c r="B133" i="29"/>
  <c r="N19" i="37" s="1"/>
  <c r="B135" i="29"/>
  <c r="B123" i="29"/>
  <c r="D19" i="37" l="1"/>
  <c r="H19" i="37"/>
  <c r="G16" i="29" l="1"/>
  <c r="F52" i="29" l="1"/>
  <c r="K27" i="30" l="1"/>
  <c r="J27" i="30"/>
  <c r="I178" i="29" l="1"/>
  <c r="J178" i="29"/>
  <c r="K178" i="29"/>
  <c r="L178" i="29"/>
  <c r="I179" i="29"/>
  <c r="J179" i="29"/>
  <c r="K179" i="29"/>
  <c r="L179" i="29"/>
  <c r="I175" i="29"/>
  <c r="J175" i="29"/>
  <c r="K175" i="29"/>
  <c r="L175" i="29"/>
  <c r="I176" i="29"/>
  <c r="J176" i="29"/>
  <c r="K176" i="29"/>
  <c r="L176" i="29"/>
  <c r="I177" i="29"/>
  <c r="J177" i="29"/>
  <c r="K177" i="29"/>
  <c r="L177" i="29"/>
  <c r="H175" i="29"/>
  <c r="H176" i="29"/>
  <c r="H177" i="29"/>
  <c r="H178" i="29"/>
  <c r="H179" i="29"/>
  <c r="L174" i="29"/>
  <c r="I174" i="29"/>
  <c r="J174" i="29"/>
  <c r="K174" i="29"/>
  <c r="G13" i="27" l="1"/>
  <c r="B178" i="29" l="1"/>
  <c r="E178" i="29"/>
  <c r="F178" i="29"/>
  <c r="M178" i="29"/>
  <c r="N178" i="29"/>
  <c r="O178" i="29"/>
  <c r="P178" i="29"/>
  <c r="Q178" i="29"/>
  <c r="R178" i="29"/>
  <c r="S178" i="29"/>
  <c r="M179" i="29"/>
  <c r="N179" i="29"/>
  <c r="O179" i="29"/>
  <c r="P179" i="29"/>
  <c r="Q179" i="29"/>
  <c r="R179" i="29"/>
  <c r="S179" i="29"/>
  <c r="C53" i="29" l="1"/>
  <c r="D53" i="29"/>
  <c r="F53" i="29" l="1"/>
  <c r="E53" i="29"/>
  <c r="E58" i="29"/>
  <c r="E61" i="29"/>
  <c r="E60" i="29"/>
  <c r="N34" i="29"/>
  <c r="M34" i="29"/>
  <c r="L34" i="29"/>
  <c r="K34" i="29"/>
  <c r="J34" i="29"/>
  <c r="I34" i="29"/>
  <c r="H34" i="29"/>
  <c r="N33" i="29"/>
  <c r="M33" i="29"/>
  <c r="L33" i="29"/>
  <c r="K33" i="29"/>
  <c r="J33" i="29"/>
  <c r="I33" i="29"/>
  <c r="E85" i="29" l="1"/>
  <c r="H174" i="29" l="1"/>
  <c r="D30" i="42" l="1"/>
  <c r="D37" i="42" l="1"/>
  <c r="R30" i="29" l="1"/>
  <c r="Q176" i="29"/>
  <c r="R176" i="29"/>
  <c r="Q177" i="29"/>
  <c r="R177" i="29"/>
  <c r="M176" i="29"/>
  <c r="N176" i="29"/>
  <c r="O176" i="29"/>
  <c r="P176" i="29"/>
  <c r="M177" i="29"/>
  <c r="N177" i="29"/>
  <c r="O177" i="29"/>
  <c r="P177" i="29"/>
  <c r="N8" i="37"/>
  <c r="B2" i="39"/>
  <c r="B2" i="42"/>
  <c r="C2" i="37"/>
  <c r="B2" i="35"/>
  <c r="B2" i="30"/>
  <c r="C2" i="45"/>
  <c r="B3" i="27"/>
  <c r="B2" i="1" s="1"/>
  <c r="I9" i="27"/>
  <c r="E57" i="29"/>
  <c r="C38" i="29"/>
  <c r="D38" i="29"/>
  <c r="B32" i="29"/>
  <c r="B31" i="29"/>
  <c r="D29" i="42"/>
  <c r="C22" i="45"/>
  <c r="K5" i="30"/>
  <c r="K4" i="30"/>
  <c r="L5" i="35"/>
  <c r="L4" i="35"/>
  <c r="R5" i="37"/>
  <c r="R4" i="37"/>
  <c r="M5" i="42"/>
  <c r="M4" i="42"/>
  <c r="L5" i="39"/>
  <c r="L4" i="39"/>
  <c r="C4" i="39"/>
  <c r="C3" i="39"/>
  <c r="B3" i="39"/>
  <c r="C4" i="42"/>
  <c r="C3" i="42"/>
  <c r="B3" i="42"/>
  <c r="D4" i="37"/>
  <c r="D3" i="37"/>
  <c r="C3" i="37"/>
  <c r="C4" i="35"/>
  <c r="C3" i="35"/>
  <c r="B3" i="35"/>
  <c r="C4" i="30"/>
  <c r="C3" i="30"/>
  <c r="B3" i="30"/>
  <c r="G9" i="27"/>
  <c r="G11" i="27"/>
  <c r="D11" i="27"/>
  <c r="B12" i="27"/>
  <c r="I11" i="27"/>
  <c r="D10" i="27"/>
  <c r="B10" i="27"/>
  <c r="B9" i="27"/>
  <c r="B6" i="27"/>
  <c r="B4" i="1"/>
  <c r="E96" i="29"/>
  <c r="E95" i="29"/>
  <c r="D11" i="42"/>
  <c r="J3" i="35"/>
  <c r="L3" i="35"/>
  <c r="I3" i="30"/>
  <c r="K3" i="30"/>
  <c r="D33" i="42"/>
  <c r="D34" i="42"/>
  <c r="D35" i="42"/>
  <c r="D36" i="42"/>
  <c r="D38" i="42"/>
  <c r="D32" i="42"/>
  <c r="D31" i="42"/>
  <c r="E115" i="29"/>
  <c r="G115" i="29" s="1"/>
  <c r="I115" i="29" s="1"/>
  <c r="E114" i="29"/>
  <c r="G114" i="29" s="1"/>
  <c r="I114" i="29" s="1"/>
  <c r="E116" i="29"/>
  <c r="G116" i="29" s="1"/>
  <c r="I116" i="29" s="1"/>
  <c r="E117" i="29"/>
  <c r="G117" i="29" s="1"/>
  <c r="I117" i="29" s="1"/>
  <c r="K30" i="35"/>
  <c r="K31" i="35"/>
  <c r="K32" i="35"/>
  <c r="K33" i="35"/>
  <c r="M175" i="29"/>
  <c r="N175" i="29"/>
  <c r="O175" i="29"/>
  <c r="P175" i="29"/>
  <c r="Q175" i="29"/>
  <c r="R175" i="29"/>
  <c r="S175" i="29"/>
  <c r="S176" i="29"/>
  <c r="S177" i="29"/>
  <c r="M174" i="29"/>
  <c r="N174" i="29"/>
  <c r="O174" i="29"/>
  <c r="P174" i="29"/>
  <c r="Q174" i="29"/>
  <c r="R174" i="29"/>
  <c r="S174" i="29"/>
  <c r="F176" i="29"/>
  <c r="F174" i="29"/>
  <c r="E176" i="29"/>
  <c r="E174" i="29"/>
  <c r="B176" i="29"/>
  <c r="B174" i="29"/>
  <c r="N35" i="29"/>
  <c r="H29" i="30"/>
  <c r="H28" i="30"/>
  <c r="H27" i="30"/>
  <c r="D24" i="42"/>
  <c r="D23" i="42"/>
  <c r="D22" i="42"/>
  <c r="D20" i="42"/>
  <c r="D19" i="42"/>
  <c r="D14" i="42"/>
  <c r="D13" i="42"/>
  <c r="D12" i="42"/>
  <c r="C25" i="45"/>
  <c r="C23" i="45"/>
  <c r="C21" i="45"/>
  <c r="C20" i="45"/>
  <c r="C19" i="45"/>
  <c r="C11" i="45"/>
  <c r="C10" i="45"/>
  <c r="C9" i="45"/>
  <c r="C8" i="45"/>
  <c r="C4" i="37"/>
  <c r="B4" i="35"/>
  <c r="B4" i="30"/>
  <c r="G79" i="29"/>
  <c r="F20" i="42" s="1"/>
  <c r="G12" i="27"/>
  <c r="H4" i="1"/>
  <c r="G78" i="29"/>
  <c r="K28" i="30"/>
  <c r="J28" i="30"/>
  <c r="K29" i="30"/>
  <c r="J29" i="30"/>
  <c r="B4" i="39"/>
  <c r="D5" i="39"/>
  <c r="E4" i="39"/>
  <c r="K5" i="39"/>
  <c r="J4" i="39"/>
  <c r="L3" i="39"/>
  <c r="J3" i="39"/>
  <c r="L5" i="42"/>
  <c r="L4" i="42"/>
  <c r="E5" i="42"/>
  <c r="E4" i="42"/>
  <c r="B4" i="42"/>
  <c r="M3" i="42"/>
  <c r="L3" i="42"/>
  <c r="F4" i="37"/>
  <c r="R3" i="37"/>
  <c r="F35" i="37" s="1"/>
  <c r="H30" i="35"/>
  <c r="I33" i="35"/>
  <c r="I32" i="35"/>
  <c r="I31" i="35"/>
  <c r="I30" i="35"/>
  <c r="B26" i="35"/>
  <c r="B13" i="27"/>
  <c r="B11" i="27"/>
  <c r="G10" i="27"/>
  <c r="D9" i="27"/>
  <c r="F6" i="27"/>
  <c r="D5" i="35"/>
  <c r="E4" i="35"/>
  <c r="K5" i="35"/>
  <c r="J4" i="35"/>
  <c r="E5" i="37"/>
  <c r="Q5" i="37"/>
  <c r="Q4" i="37"/>
  <c r="O3" i="37"/>
  <c r="J5" i="30"/>
  <c r="D5" i="30"/>
  <c r="I4" i="30"/>
  <c r="E4" i="30"/>
  <c r="H8" i="37"/>
  <c r="D8" i="37"/>
  <c r="S173" i="29"/>
  <c r="R173" i="29"/>
  <c r="Q173" i="29"/>
  <c r="P173" i="29"/>
  <c r="O173" i="29"/>
  <c r="N173" i="29"/>
  <c r="M173" i="29"/>
  <c r="L173" i="29"/>
  <c r="K173" i="29"/>
  <c r="J173" i="29"/>
  <c r="I173" i="29"/>
  <c r="H173" i="29"/>
  <c r="B36" i="39"/>
  <c r="B34" i="39"/>
  <c r="B34" i="35"/>
  <c r="C35" i="29"/>
  <c r="R29" i="29"/>
  <c r="E35" i="29"/>
  <c r="R33" i="29"/>
  <c r="H35" i="29"/>
  <c r="R35" i="29"/>
  <c r="J35" i="29"/>
  <c r="R56" i="29"/>
  <c r="L35" i="29"/>
  <c r="M35" i="29"/>
  <c r="G59" i="37" l="1"/>
  <c r="F59" i="37"/>
  <c r="G58" i="37"/>
  <c r="G54" i="37"/>
  <c r="G50" i="37"/>
  <c r="G46" i="37"/>
  <c r="G42" i="37"/>
  <c r="G38" i="37"/>
  <c r="F40" i="37"/>
  <c r="F44" i="37"/>
  <c r="F48" i="37"/>
  <c r="F52" i="37"/>
  <c r="F56" i="37"/>
  <c r="F36" i="37"/>
  <c r="G57" i="37"/>
  <c r="G53" i="37"/>
  <c r="G49" i="37"/>
  <c r="G45" i="37"/>
  <c r="G41" i="37"/>
  <c r="G37" i="37"/>
  <c r="F41" i="37"/>
  <c r="F45" i="37"/>
  <c r="F49" i="37"/>
  <c r="F53" i="37"/>
  <c r="F57" i="37"/>
  <c r="F37" i="37"/>
  <c r="G56" i="37"/>
  <c r="G52" i="37"/>
  <c r="G48" i="37"/>
  <c r="G44" i="37"/>
  <c r="G40" i="37"/>
  <c r="G36" i="37"/>
  <c r="F42" i="37"/>
  <c r="F46" i="37"/>
  <c r="F50" i="37"/>
  <c r="F54" i="37"/>
  <c r="F58" i="37"/>
  <c r="F38" i="37"/>
  <c r="G55" i="37"/>
  <c r="G47" i="37"/>
  <c r="G43" i="37"/>
  <c r="G39" i="37"/>
  <c r="F43" i="37"/>
  <c r="F47" i="37"/>
  <c r="F55" i="37"/>
  <c r="G51" i="37"/>
  <c r="G35" i="37"/>
  <c r="F51" i="37"/>
  <c r="F39" i="37"/>
  <c r="H15" i="35"/>
  <c r="H22" i="30"/>
  <c r="B3" i="32"/>
  <c r="E20" i="42"/>
  <c r="K117" i="29"/>
  <c r="L33" i="35" s="1"/>
  <c r="J33" i="35"/>
  <c r="H7" i="35"/>
  <c r="D35" i="29"/>
  <c r="R32" i="29"/>
  <c r="B22" i="30"/>
  <c r="J30" i="35"/>
  <c r="K114" i="29"/>
  <c r="L30" i="35" s="1"/>
  <c r="K115" i="29"/>
  <c r="L31" i="35" s="1"/>
  <c r="J31" i="35"/>
  <c r="J32" i="35"/>
  <c r="K116" i="29"/>
  <c r="L32" i="35" s="1"/>
  <c r="H8" i="30"/>
  <c r="H26" i="35"/>
  <c r="B8" i="30"/>
  <c r="B7" i="35"/>
  <c r="B15" i="35"/>
  <c r="K35" i="29"/>
  <c r="I35" i="29"/>
  <c r="G35" i="29"/>
  <c r="R31" i="29"/>
  <c r="R34" i="29"/>
  <c r="F35" i="29"/>
  <c r="R55" i="29"/>
  <c r="Q57" i="29"/>
  <c r="E59" i="29"/>
  <c r="H42" i="37" l="1"/>
  <c r="H45" i="37"/>
  <c r="H52" i="37"/>
  <c r="H55" i="37"/>
  <c r="H56" i="37"/>
  <c r="H51" i="37"/>
  <c r="H57" i="37"/>
  <c r="H58" i="37"/>
  <c r="H50" i="37"/>
  <c r="H59" i="37"/>
  <c r="H53" i="37"/>
  <c r="H54" i="37"/>
  <c r="H35" i="37"/>
  <c r="H39" i="37"/>
  <c r="H49" i="37"/>
  <c r="H38" i="37"/>
  <c r="H48" i="37"/>
  <c r="H41" i="37"/>
  <c r="H40" i="37"/>
  <c r="H47" i="37"/>
  <c r="H37" i="37"/>
  <c r="H43" i="37"/>
  <c r="H36" i="37"/>
  <c r="H44" i="37"/>
  <c r="H4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8" authorId="1" shapeId="0" xr:uid="{00000000-0006-0000-0200-000002000000}">
      <text>
        <r>
          <rPr>
            <b/>
            <sz val="8"/>
            <color indexed="81"/>
            <rFont val="Tahoma"/>
            <family val="2"/>
            <charset val="204"/>
          </rPr>
          <t xml:space="preserve">If data are not available, do not enter zeros; rather, leave the cells in the table blank. </t>
        </r>
      </text>
    </comment>
    <comment ref="B79" authorId="1" shapeId="0" xr:uid="{00000000-0006-0000-0200-000003000000}">
      <text>
        <r>
          <rPr>
            <b/>
            <sz val="8"/>
            <color indexed="81"/>
            <rFont val="Tahoma"/>
            <family val="2"/>
            <charset val="204"/>
          </rPr>
          <t>If data are not available, do not enter zeros; rather, leave the cells in this table blank.</t>
        </r>
      </text>
    </comment>
    <comment ref="B85" authorId="0" shapeId="0" xr:uid="{00000000-0006-0000-0200-000004000000}">
      <text>
        <r>
          <rPr>
            <sz val="8"/>
            <color indexed="81"/>
            <rFont val="Tahoma"/>
            <family val="2"/>
            <charset val="204"/>
          </rPr>
          <t xml:space="preserve">If data are not available, do not enter zeros; rather, leave the cells in this table blank. </t>
        </r>
      </text>
    </comment>
    <comment ref="B100"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<sst xmlns="http://schemas.openxmlformats.org/spreadsheetml/2006/main" count="903" uniqueCount="546">
  <si>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</si>
  <si>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</si>
  <si>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</si>
  <si>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</si>
  <si>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</si>
  <si>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</si>
  <si>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</si>
  <si>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</si>
  <si>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</si>
  <si>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</si>
  <si>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</si>
  <si>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</si>
  <si>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</si>
  <si>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</si>
  <si>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</si>
  <si>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</si>
  <si>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</si>
  <si>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</si>
  <si>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</si>
  <si>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</si>
  <si>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</si>
  <si>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</si>
  <si>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</si>
  <si>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</si>
  <si>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</si>
  <si>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</si>
  <si>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</si>
  <si>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</si>
  <si>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</si>
  <si>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</si>
  <si>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</si>
  <si>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</si>
  <si>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</si>
  <si>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</si>
  <si>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</si>
  <si>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</si>
  <si>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</si>
  <si>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</si>
  <si>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</si>
  <si>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</si>
  <si>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</si>
  <si>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</si>
  <si>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</si>
  <si>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</si>
  <si>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</si>
  <si>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</si>
  <si>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</si>
  <si>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</si>
  <si>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</si>
  <si>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</si>
  <si>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</si>
  <si>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</si>
  <si>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Medicaments</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</si>
  <si>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</si>
  <si>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</si>
  <si>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</si>
  <si>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</si>
  <si>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</si>
  <si>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</si>
  <si>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</si>
  <si>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</si>
  <si>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</si>
  <si>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</si>
  <si>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</si>
  <si>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</si>
  <si>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</si>
  <si>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</si>
  <si>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</si>
  <si>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</si>
  <si>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</si>
  <si>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</si>
  <si>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</si>
  <si>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</si>
  <si>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</si>
  <si>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</si>
  <si>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</si>
  <si>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</si>
  <si>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</si>
  <si>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</si>
  <si>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</si>
  <si>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</si>
  <si>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</si>
  <si>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</si>
  <si>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</si>
  <si>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</si>
  <si>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</si>
  <si>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</si>
  <si>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</si>
  <si>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</si>
  <si>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</si>
  <si>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</si>
  <si>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</si>
  <si>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</si>
  <si>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</si>
  <si>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</si>
  <si>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</si>
  <si>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</si>
  <si>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</si>
  <si>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</si>
  <si>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</si>
  <si>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</si>
  <si>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</si>
  <si>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</si>
  <si>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</si>
  <si>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</si>
  <si>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</si>
  <si>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</si>
  <si>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</si>
  <si>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</si>
  <si>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</si>
  <si>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</si>
  <si>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</si>
  <si>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</si>
  <si>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</si>
  <si>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</si>
  <si>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</si>
  <si>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</si>
  <si>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</si>
  <si>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</si>
  <si>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</si>
  <si>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</si>
  <si>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</si>
  <si>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</si>
  <si>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</si>
  <si>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</si>
  <si>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</si>
  <si>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</si>
  <si>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</si>
  <si>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</si>
  <si>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</si>
  <si>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</si>
  <si>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</si>
  <si>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</si>
  <si>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</si>
  <si>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</si>
  <si>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</si>
  <si>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</si>
  <si>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</si>
  <si>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</si>
  <si>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</si>
  <si>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</si>
  <si>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</si>
  <si>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</si>
  <si>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</si>
  <si>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</si>
  <si>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</si>
  <si>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</si>
  <si>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</si>
  <si>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</si>
  <si>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</si>
  <si>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</si>
  <si>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</si>
  <si>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</si>
  <si>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</si>
  <si>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</si>
  <si>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</si>
  <si>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</si>
  <si>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</si>
  <si>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</si>
  <si>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</si>
  <si>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</si>
  <si>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</si>
  <si>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</si>
  <si>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</si>
  <si>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</si>
  <si>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</si>
  <si>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</si>
  <si>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</si>
  <si>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</si>
  <si>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</si>
  <si>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</si>
  <si>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</si>
  <si>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</si>
  <si>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</si>
  <si>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</si>
  <si>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</si>
  <si>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</si>
  <si>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</si>
  <si>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</si>
  <si>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</si>
  <si>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</si>
  <si>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</si>
  <si>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</si>
  <si>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</si>
  <si>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</si>
  <si>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</si>
  <si>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</si>
  <si>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</si>
  <si>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</si>
  <si>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</si>
  <si>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</si>
  <si>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</si>
  <si>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</si>
  <si>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</si>
  <si>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</si>
  <si>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</si>
  <si>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</si>
  <si>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</si>
  <si>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</si>
  <si>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</si>
  <si>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</si>
  <si>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</si>
  <si>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</si>
  <si>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</si>
  <si>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</si>
  <si>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</si>
  <si>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</si>
  <si>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</si>
  <si>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</si>
  <si>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</si>
  <si>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</si>
  <si>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</si>
  <si>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</si>
  <si>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</si>
  <si>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</si>
  <si>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</si>
  <si>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</si>
  <si>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</si>
  <si>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</si>
  <si>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</si>
  <si>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</si>
  <si>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</si>
  <si>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</si>
  <si>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</si>
  <si>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</si>
  <si>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</si>
  <si>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</si>
  <si>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</si>
  <si>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</si>
  <si>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</si>
  <si>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</si>
  <si>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</si>
  <si>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</si>
  <si>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</si>
  <si>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</si>
  <si>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</si>
  <si>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</si>
  <si>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</si>
  <si>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</si>
  <si>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</si>
  <si>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</si>
  <si>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</si>
  <si>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</si>
  <si>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</si>
  <si>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</si>
  <si>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</si>
  <si>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</si>
  <si>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</si>
  <si>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</si>
  <si>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</si>
  <si>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</si>
  <si>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</si>
  <si>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</si>
  <si>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</si>
  <si>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</si>
  <si>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</si>
  <si>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</si>
  <si>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</si>
  <si>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</si>
  <si>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</si>
  <si>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</si>
  <si>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</si>
  <si>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</si>
  <si>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</si>
  <si>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</si>
  <si>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</si>
  <si>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</si>
  <si>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</si>
  <si>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</si>
  <si>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</si>
  <si>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</si>
  <si>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</si>
  <si>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</si>
  <si>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</si>
  <si>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</si>
  <si>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</si>
  <si>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</si>
  <si>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</si>
  <si>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</si>
  <si>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</si>
  <si>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</si>
  <si>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</si>
  <si>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</si>
  <si>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</si>
  <si>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</si>
  <si>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</si>
  <si>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</si>
  <si>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</si>
  <si>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</si>
  <si>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</si>
  <si>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</si>
  <si>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</si>
  <si>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</si>
  <si>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</si>
  <si>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</si>
  <si>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</si>
  <si>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</si>
  <si>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</si>
  <si>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</si>
  <si>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</si>
  <si>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</si>
  <si>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</si>
  <si>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</si>
  <si>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</si>
  <si>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</si>
  <si>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</si>
  <si>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</si>
  <si>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</si>
  <si>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</si>
  <si>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</si>
  <si>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</si>
  <si>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</si>
  <si>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</si>
  <si>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</si>
  <si>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</si>
  <si>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</si>
  <si>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</si>
  <si>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</si>
  <si>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</si>
  <si>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</si>
  <si>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</si>
  <si>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</si>
  <si>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</si>
  <si>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</si>
  <si>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</si>
  <si>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</si>
  <si>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</si>
  <si>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</si>
  <si>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</si>
  <si>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</si>
  <si>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</si>
  <si>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</si>
  <si>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</si>
  <si>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</si>
  <si>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</si>
  <si>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</si>
  <si>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</si>
  <si>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</si>
  <si>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</si>
  <si>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</si>
  <si>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</si>
  <si>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</si>
  <si>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</si>
  <si>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</si>
  <si>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</si>
  <si>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</si>
  <si>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</si>
  <si>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</si>
  <si>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</si>
  <si>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</si>
  <si>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</si>
  <si>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</si>
  <si>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</si>
  <si>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</si>
  <si>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</si>
  <si>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</si>
  <si>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</si>
  <si>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</si>
  <si>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</si>
  <si>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</si>
  <si>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</si>
  <si>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</si>
  <si>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</si>
  <si>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</si>
  <si>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</si>
  <si>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</si>
  <si>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</si>
  <si>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</si>
  <si>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</si>
  <si>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</si>
  <si>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</si>
  <si>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</si>
  <si>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</si>
  <si>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</si>
  <si>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</si>
  <si>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</si>
  <si>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</si>
  <si>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</si>
  <si>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</si>
  <si>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</si>
  <si>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</si>
  <si>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</si>
  <si>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</si>
  <si>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</si>
  <si>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</si>
  <si>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</si>
  <si>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</si>
  <si>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</si>
  <si>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</si>
  <si>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</si>
  <si>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</si>
  <si>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</si>
  <si>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</si>
  <si>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</si>
  <si>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</si>
  <si>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</si>
  <si>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</si>
  <si>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</si>
  <si>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Data de introducere a informației:</t>
  </si>
  <si>
    <t xml:space="preserve">Introduceți datele financiare în celulele colorate în oranj </t>
  </si>
  <si>
    <t>Tabelul este în mod automat reînnoit. Nu necesită introducerea datelor și/sau informației.</t>
  </si>
  <si>
    <t xml:space="preserve">Ultima debursare: Zile calendaristice </t>
  </si>
  <si>
    <t>Indicatori de Program (din Performance Framework)</t>
  </si>
  <si>
    <t xml:space="preserve">    Introduceți datele de performanță în celulele în galben.</t>
  </si>
  <si>
    <t>Recomandările cheie a Comisiei de Supraveghere</t>
  </si>
  <si>
    <t>IP UCIMP DS</t>
  </si>
  <si>
    <t>Tsovinar Sakanyan</t>
  </si>
  <si>
    <t xml:space="preserve">                               Introduceți datele pentru management în celulele albastre</t>
  </si>
  <si>
    <t>* Include numai AFR categoriile 4,5 și 6  (Produse medicale și Echipamente medicale &amp; Medicamente și Produse farmaceutice)</t>
  </si>
  <si>
    <t>Variația</t>
  </si>
  <si>
    <t>%</t>
  </si>
  <si>
    <t>MDA-C-PCIMU</t>
  </si>
  <si>
    <t>Consolidarea controlului tuberculozei și reducerea SIDA și a mortalității aferente în Republica Moldova</t>
  </si>
  <si>
    <t>Start date</t>
  </si>
  <si>
    <t>End data</t>
  </si>
  <si>
    <t>N/A</t>
  </si>
  <si>
    <t>HIV I-4: Mortalitatea asociată cu SIDA la 100,000 populaţie</t>
  </si>
  <si>
    <t>Indicator de impact</t>
  </si>
  <si>
    <t>Indicator de rezultat</t>
  </si>
  <si>
    <t>Indicator de proces</t>
  </si>
  <si>
    <t>HIV</t>
  </si>
  <si>
    <t>Definiție (din M&amp;E Plan)</t>
  </si>
  <si>
    <t>Column1</t>
  </si>
  <si>
    <t>Column2</t>
  </si>
  <si>
    <t>N</t>
  </si>
  <si>
    <t>Tip indicator</t>
  </si>
  <si>
    <t xml:space="preserve">Componenta </t>
  </si>
  <si>
    <t>TB O-5(M): Rata de acoperire cu tratament antituberculos</t>
  </si>
  <si>
    <t xml:space="preserve">TB I-4(M): Prevalența RR-TB și/sau MDR-TB printre cazurile noi de tuberculoză </t>
  </si>
  <si>
    <t>TB I-3(M): Rata mortalităţii prin TB la 100,000 populație</t>
  </si>
  <si>
    <t>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t>
  </si>
  <si>
    <t xml:space="preserve">HIV I-9a⁽ᴹ⁾: Procentul BSB care trăiesc cu HIV </t>
  </si>
  <si>
    <t>Frecvența de colectare a datelor</t>
  </si>
  <si>
    <t>Definiție (conform Planului M&amp;E)</t>
  </si>
  <si>
    <t>Numărător: Numărul de BSB care au rezultat HIV pozitiv                                                                                                             Numitor: Numărul de BSB testați pentru HIV</t>
  </si>
  <si>
    <t>Studiu Integrat Bio-Comportamental (IBBS)</t>
  </si>
  <si>
    <t>HIV I-10⁽ᴹ⁾: Procentul LS care trăiesc cu HIV</t>
  </si>
  <si>
    <t xml:space="preserve">Numărător: Numărul de LS care au rezultat HIV pozitiv                                                                                                             Numitor: Numărul de LS testați pentru HIV                                                                       </t>
  </si>
  <si>
    <t>TB O-4(M): Rata succesului tratamentului pacienților cu RR TB și/sau MDR-TB</t>
  </si>
  <si>
    <t>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t>
  </si>
  <si>
    <t>Numărător: Numărul de cazuri noi și recidive notificate și acoperite cu tratament,  într-o anumită perioadă
Numitor: Numărul estimat de cazuri TB din același an (toate formele TB - bacteriologic confirmate și diagnosticate clinic)</t>
  </si>
  <si>
    <t>HIV O-4a⁽ᴹ⁾: Procentul BSB care raportează utilizarea prezervativului în timpul ultimului act de sex anal cu un partener de sex masculin</t>
  </si>
  <si>
    <t>Numărător: Numărul de BSB care au raportat utilizarea prezervativului, în timpul ultimului act de sex anal cu un partener ocazional, în ultimele 6 luni                                                                                                  Numitor: Numărul de BSB care au raportat practicarea sexului anal cu un partener de sex masculin, în ultimele 6 luni</t>
  </si>
  <si>
    <t xml:space="preserve">
Următorul IBBS urmează a fi realizat în a. 2024 (în afara perioadei curente de implementare)
</t>
  </si>
  <si>
    <t>Următorul IBBS urmează a fi realizat în a. 2024 (în afara perioadei curente de implementare)</t>
  </si>
  <si>
    <t>HIV O-5⁽ᴹ⁾: Procentul LS care raportează utilizarea prezervativului cu ultimul lor client</t>
  </si>
  <si>
    <t>Numărător: Numărul de LS care au raportat utilizarea prezervativului cu ultimul lor client
Numitor: Numărul de LS care au raportat practicarea sexului comercial în ultimele 12 luni</t>
  </si>
  <si>
    <t>HIV O-11⁽ᴹ⁾: Procentul PTH care își cunosc statutul HIV la sfîrșitul perioadei de raportare</t>
  </si>
  <si>
    <t xml:space="preserve">Numărător: Numărul persoanelor care trăiesc cu HIV, care își cunosc statutul HIV                                                                                 Numitor: Numărul estimat al persoanelor care trăiesc cu HIV (date - generate de SPECTRUM)                 </t>
  </si>
  <si>
    <t>Registru pacienți HIV/ Estimări SPECTRUM</t>
  </si>
  <si>
    <t>HIV O-12: Procentul PTH aflați în tratament ARV, care prezintă supresie virală</t>
  </si>
  <si>
    <t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t>
  </si>
  <si>
    <t xml:space="preserve">Estimări SPECTRUM/ Registru pacienți TARV </t>
  </si>
  <si>
    <t xml:space="preserve">Estimări SPECTRUM
</t>
  </si>
  <si>
    <t xml:space="preserve">TCP-1⁽ᴹ⁾: Numărul cazurilor de tuberculoză, toate formele (bacteriologic confirmate și diagnosticate clinic, cazuri noi și recidive) notificate către autoritatea națională, într-o perioadă anumită de timp </t>
  </si>
  <si>
    <t xml:space="preserve">Numărător: Numărul cazurilor de tuberculoză, toate formele (bacteriologic confirmate și diagnosticate clinic, cazuri noi și recidive) notificate către autoritatea națională, într-o perioadă anumită de timp                                                                                        Numitor: Nu este   </t>
  </si>
  <si>
    <t xml:space="preserve">MDR TB-2⁽ᴹ⁾: Numărul cazurilor cu tuberculoză drog-rezistentă (RR-TB și/sau MDR-TB) notificate către autoritatea națională          </t>
  </si>
  <si>
    <t xml:space="preserve">Numărător: Numărul de cazuri de TB DR (RR-TB și/sau MDR-TB), confirmate bacteriologic, notificate către autoritatea națională, în perioada raportată                                                                                             Numitor: Nu este   </t>
  </si>
  <si>
    <t xml:space="preserve">MDR TB-3⁽ᴹ⁾: Numărul cazurilor cu tuberculoză drog-rezistentă (RR-TB și/sau MDR-TB), confirmate bacteriologic, care au demarat tratamentul DOTS-Plus, în perioada raportată                </t>
  </si>
  <si>
    <t xml:space="preserve">Numărător: Numărul cazurilor cu TB DR (RR-TB și/sau MDR-TB), confirmate bacteriologic, care au demarat tratamentul DOTS-Plus în perioada raportată
Numitor: Nu este   </t>
  </si>
  <si>
    <t>Sistemul R&amp;R TB/ Rapoarte anuale; Supraveghere de rutină a DR (Drog Rezistenței)/ SYME TB</t>
  </si>
  <si>
    <t>TCS-1.1⁽ᴹ⁾: Procentul persoanelor aflate în tratament ARV, din numărul total de PTH, la sfîrșitul perioadei de raportare</t>
  </si>
  <si>
    <t>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t>
  </si>
  <si>
    <t xml:space="preserve">Registru pacienți TARV/ Estimări SPECTRUM  </t>
  </si>
  <si>
    <t xml:space="preserve">KP-1a⁽ᴹ⁾: Procentul BSB acoperiți de programele de prevenire HIV - pachet definit de servicii </t>
  </si>
  <si>
    <t>Numărător: Numărul de BSB care au beneficiat de un pachet definit de servicii de prevenire HIV                                                   Numitor: Numărul estimat de BSB în Rep. Moldova</t>
  </si>
  <si>
    <t xml:space="preserve">Forme de raportare ONG, Registrul Electronic de Evidență a beneficiarilor din GRSI
</t>
  </si>
  <si>
    <t xml:space="preserve">KP-1c⁽ᴹ⁾: Procentul LS acoperiți de programele de prevenire HIV - pachet definit de servicii </t>
  </si>
  <si>
    <t>Numărător: Numărul de LS care au beneficiat de un pachet definit de servicii de prevenire HIV                                                   Numitor: Numărul estimat de LS în Rep. Moldova</t>
  </si>
  <si>
    <t>HTS-3a⁽ᴹ⁾: Procentul BSB care au fost testați pentru HIV, în perioada de raportare, și își cunosc rezultatele</t>
  </si>
  <si>
    <t>Numărător: Numărul de BSB care au fost testați pentru HIV, în perioada de raportare, și își cunosc rezultatele
Numitor: Numărul estimat de BSB în Rep. Moldova</t>
  </si>
  <si>
    <t>HTS-3c⁽ᴹ⁾: Procentul LS care au fost testați pentru HIV, în perioada de raportare, și își cunosc rezultatele</t>
  </si>
  <si>
    <t xml:space="preserve">Numărător: Numărul de LS care au fost testați pentru HIV, în perioada de raportare, și își cunosc rezultatele
Numitor: Numărul estimat de LS în Rep. Moldova
</t>
  </si>
  <si>
    <t>HTS-3f⁽ᴹ⁾: Numărul deținuților care au fost testați pentru HIV, în perioada de raportare, și își cunosc rezultatele</t>
  </si>
  <si>
    <t>Numărător: Numărul deținuților care au fost testați pentru HIV, în perioada de raportare, și își cunosc rezultatele
Numitor: Nu este</t>
  </si>
  <si>
    <t>KP-6a: Procentul BSB eligibili, care au inițiat tratamentul oral antiretroviral PrEP, în perioada de raportare</t>
  </si>
  <si>
    <t>Registru pacienți TARV pentru PrEP, Registrul Electronic de Evidență a beneficiarilor din GRSI</t>
  </si>
  <si>
    <t>Sistemul R&amp;R TB/ Rapoarte anuale/ SYME TB</t>
  </si>
  <si>
    <t>MDR-TB</t>
  </si>
  <si>
    <t>Management de Program</t>
  </si>
  <si>
    <t>COVID-19</t>
  </si>
  <si>
    <t>Pentru raportarea acestui indicator, datele sunt colectate și validate în conformitate cu rezultatele Studiului Integrat Bio-Comportamental (IBSS). Pentru perioada aa. 2021-2023, nu sunt ținte propuse pentru acest indicator, deoarece următorul IBBS urmează a fi realizat în a. 2024 (în afara perioadei curente de implementare).</t>
  </si>
  <si>
    <t>n/a</t>
  </si>
  <si>
    <t>Modulele Grantului</t>
  </si>
  <si>
    <t>Prevenirea cazurilor noi HIV pozitive </t>
  </si>
  <si>
    <t>Reducerea barierelor în domeniul drepturilor omului, în accesarea serviciilor HIV/TB</t>
  </si>
  <si>
    <t>Înlăturarea barierelor în domeniul drepturilor omului și de gen, în accesarea serviciilor TB</t>
  </si>
  <si>
    <t>Servicii de îngrijire și prevenire a TB</t>
  </si>
  <si>
    <t>Tratament, îngrijire și suport (HIV)</t>
  </si>
  <si>
    <t>Name</t>
  </si>
  <si>
    <t xml:space="preserve">Introduceți datele bazîndu-vă pe celulele codificate prin culoare </t>
  </si>
  <si>
    <t>Servicii diferențiate de testare la HIV</t>
  </si>
  <si>
    <t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t>
  </si>
  <si>
    <r>
      <rPr>
        <b/>
        <sz val="10"/>
        <rFont val="Calibri"/>
        <family val="2"/>
      </rPr>
      <t xml:space="preserve">Date preliminare pentru a. 2023. </t>
    </r>
    <r>
      <rPr>
        <sz val="10"/>
        <rFont val="Calibri"/>
        <family val="2"/>
      </rPr>
      <t xml:space="preserve">141 persoane au decedat de tuberculoză, în anul 2023 - 4,7 decese cauzate de TB (toate formele), la persoanele HIV-negative, la 100,000 populație).  </t>
    </r>
  </si>
  <si>
    <t xml:space="preserve">Date preliminare pentru a. 2023. 141 persoane au decedat de tuberculoză, în anul 2023 - 4,7 decese cauzate de TB (toate formele), la persoanele HIV-negative, la 100,000 populație).                                                                                                
</t>
  </si>
  <si>
    <t xml:space="preserve">Date preliminare pentru a. 2023. 253 cazuri noi de tuberculoză cu testul pozitiv la cultură, examinate la sensibilitate pentru preparatele de linia I, din 1 026 cazuri investigate în anul 2023, au fost diagnosticate cu MDR.          </t>
  </si>
  <si>
    <r>
      <rPr>
        <b/>
        <sz val="10"/>
        <rFont val="Calibri"/>
        <family val="2"/>
      </rPr>
      <t xml:space="preserve">Date preliminare pentru cohorta MDR-TB a. 2021. </t>
    </r>
    <r>
      <rPr>
        <sz val="10"/>
        <rFont val="Calibri"/>
        <family val="2"/>
      </rPr>
      <t xml:space="preserve">312 cazuri confirmate de TB MDR, din 492 incluse în tratamentul DOTS Plus, în anul 2021, au fost tratate cu succes (vindecate și cu tratamente încheiate).          </t>
    </r>
  </si>
  <si>
    <r>
      <rPr>
        <b/>
        <sz val="10"/>
        <rFont val="Calibri"/>
        <family val="2"/>
      </rPr>
      <t xml:space="preserve">Date preliminare pentru a. 2023. </t>
    </r>
    <r>
      <rPr>
        <sz val="10"/>
        <rFont val="Calibri"/>
        <family val="2"/>
      </rPr>
      <t xml:space="preserve">253 cazuri noi de tuberculoză cu testul pozitiv la cultură, examinate la sensibilitate pentru preparatele de linia I, din 1 026 cazuri investigate în anul 2023, au fost diagnosticate cu RR-TB și/sau MDR-TB.         </t>
    </r>
  </si>
  <si>
    <r>
      <rPr>
        <b/>
        <sz val="10"/>
        <rFont val="Calibri"/>
        <family val="2"/>
      </rPr>
      <t xml:space="preserve">Date finale pentru a. 2022. </t>
    </r>
    <r>
      <rPr>
        <sz val="10"/>
        <rFont val="Calibri"/>
        <family val="2"/>
      </rPr>
      <t xml:space="preserve">Procentul de cazuri noi și recidive notificate și acoperite cu tratament, din numărul estimat de cazuri TB, în anul 2022, a fost de 87.00%. </t>
    </r>
    <r>
      <rPr>
        <b/>
        <sz val="10"/>
        <rFont val="Calibri"/>
        <family val="2"/>
      </rPr>
      <t xml:space="preserve">  </t>
    </r>
    <r>
      <rPr>
        <sz val="10"/>
        <rFont val="Calibri"/>
        <family val="2"/>
      </rPr>
      <t xml:space="preserve">                                                                              Notă - Datele privind rata de acoperire cu tratament antituberculos sunt disponibile, începînd cu trimestrul III al fiecărui an, după publicarea raportului anual al OMS.</t>
    </r>
  </si>
  <si>
    <r>
      <rPr>
        <b/>
        <sz val="10"/>
        <rFont val="Calibri"/>
        <family val="2"/>
      </rPr>
      <t xml:space="preserve">Date finale pentru a. 2023. </t>
    </r>
    <r>
      <rPr>
        <sz val="10"/>
        <rFont val="Calibri"/>
        <family val="2"/>
      </rPr>
      <t xml:space="preserve">2,162 cazuri de tuberculoză, toate formele (bacteriologic confirmate și diagnosticate clinic, cazuri noi și recidive) au fost notificate către autoritatea națională, în anul 2023.      </t>
    </r>
    <r>
      <rPr>
        <b/>
        <sz val="10"/>
        <rFont val="Calibri"/>
        <family val="2"/>
      </rPr>
      <t xml:space="preserve">            </t>
    </r>
    <r>
      <rPr>
        <sz val="10"/>
        <rFont val="Calibri"/>
        <family val="2"/>
      </rPr>
      <t xml:space="preserve">                        </t>
    </r>
    <r>
      <rPr>
        <b/>
        <sz val="10"/>
        <rFont val="Calibri"/>
        <family val="2"/>
      </rPr>
      <t xml:space="preserve">           </t>
    </r>
    <r>
      <rPr>
        <sz val="10"/>
        <rFont val="Calibri"/>
        <family val="2"/>
      </rPr>
      <t xml:space="preserve">                                                                                                       </t>
    </r>
  </si>
  <si>
    <r>
      <rPr>
        <b/>
        <sz val="10"/>
        <rFont val="Calibri"/>
        <family val="2"/>
      </rPr>
      <t xml:space="preserve">Date finale pentru a. 2023. </t>
    </r>
    <r>
      <rPr>
        <sz val="10"/>
        <rFont val="Calibri"/>
        <family val="2"/>
      </rPr>
      <t xml:space="preserve">428 cazuri cu tuberculoză drog-rezistentă (RR-TB și/sau MDR-TB), confirmate bacteriologic, au fost notificate, în anul 2023, față de 836 cazuri estimate pentru perioada raportată. </t>
    </r>
    <r>
      <rPr>
        <b/>
        <sz val="10"/>
        <rFont val="Calibri"/>
        <family val="2"/>
      </rPr>
      <t xml:space="preserve">  </t>
    </r>
    <r>
      <rPr>
        <sz val="10"/>
        <rFont val="Calibri"/>
        <family val="2"/>
      </rPr>
      <t xml:space="preserve">                                            
Notă - Reducerea numărului de pacienți MDR TB notificați este în directă corespundere cu scăderea incidenței TB.                      </t>
    </r>
    <r>
      <rPr>
        <b/>
        <sz val="10"/>
        <rFont val="Calibri"/>
        <family val="2"/>
      </rPr>
      <t xml:space="preserve">                                  </t>
    </r>
    <r>
      <rPr>
        <sz val="10"/>
        <rFont val="Calibri"/>
        <family val="2"/>
      </rPr>
      <t xml:space="preserve">                                           
</t>
    </r>
  </si>
  <si>
    <r>
      <rPr>
        <b/>
        <sz val="10"/>
        <rFont val="Calibri"/>
        <family val="2"/>
      </rPr>
      <t xml:space="preserve">Date finale pentru cohorta a. 2023. </t>
    </r>
    <r>
      <rPr>
        <sz val="10"/>
        <rFont val="Calibri"/>
        <family val="2"/>
      </rPr>
      <t xml:space="preserve">518 cazuri cu tuberculoză drog-rezistentă (RR-TB și/sau MDR-TB), confirmate bacteriologic, au demarat tratamentul DOTS-Plus, în anul 2023, față de 836 cazuri estimate pentru perioada raportată.                 </t>
    </r>
  </si>
  <si>
    <t>Date finale pentru a. 2023 vor fi disponibile după 31 martie 2024.                                                     Notă - Sursa pentru numitor: estimările SPECTRUM 2024 pentru a. 2023.</t>
  </si>
  <si>
    <r>
      <rPr>
        <b/>
        <sz val="10"/>
        <rFont val="Calibri"/>
        <family val="2"/>
      </rPr>
      <t xml:space="preserve">Datele finale pentru 2023 </t>
    </r>
    <r>
      <rPr>
        <sz val="10"/>
        <rFont val="Calibri"/>
        <family val="2"/>
      </rPr>
      <t>vor fi disponibile după 31 martie 2024.                                                                                Notă - Sursa pentru numitor: estimările SPECTRUM 2024 pentru a. 2023.</t>
    </r>
  </si>
  <si>
    <r>
      <rPr>
        <b/>
        <sz val="10"/>
        <rFont val="Calibri"/>
        <family val="2"/>
      </rPr>
      <t xml:space="preserve">Datele finale pentru a. 2023 </t>
    </r>
    <r>
      <rPr>
        <sz val="10"/>
        <rFont val="Calibri"/>
        <family val="2"/>
      </rPr>
      <t>vor fi disponibile după 31 martie 2024.                                                                        Notă - Sursa pentru numitor: estimările SPECTRUM 2024 pentru a. 2023.</t>
    </r>
  </si>
  <si>
    <r>
      <rPr>
        <b/>
        <sz val="10"/>
        <rFont val="Calibri"/>
        <family val="2"/>
      </rPr>
      <t>Date finale pentru a. 2023.</t>
    </r>
    <r>
      <rPr>
        <sz val="10"/>
        <rFont val="Calibri"/>
        <family val="2"/>
      </rPr>
      <t xml:space="preserve"> 6,592 PTH au prezentat supresie virală (&lt;1000 copii/mL), din 7,449 PTH aflate în tratament ARV cel puțin 6 luni și cu cel puțin un rezultat la testul de detectare a încărcăturii virale HIV, în registrul pacienților TARV, în anul 2023.    </t>
    </r>
  </si>
  <si>
    <r>
      <rPr>
        <b/>
        <sz val="10"/>
        <rFont val="Calibri"/>
        <family val="2"/>
      </rPr>
      <t xml:space="preserve">Date finale pentru a. 2023. </t>
    </r>
    <r>
      <rPr>
        <sz val="10"/>
        <rFont val="Calibri"/>
        <family val="2"/>
      </rPr>
      <t xml:space="preserve">La finele anului 2023, un număr de 8,509 PTH se afla în tratament ARV, din   14,477 PTH estimate de SPECTRUM, pentru această perioadă.                                                                                          </t>
    </r>
  </si>
  <si>
    <r>
      <rPr>
        <b/>
        <sz val="10"/>
        <rFont val="Calibri"/>
        <family val="2"/>
      </rPr>
      <t xml:space="preserve">Date finale pentru a. 2023. </t>
    </r>
    <r>
      <rPr>
        <sz val="10"/>
        <rFont val="Calibri"/>
        <family val="2"/>
      </rPr>
      <t>La finele anului 2023,</t>
    </r>
    <r>
      <rPr>
        <b/>
        <sz val="10"/>
        <rFont val="Calibri"/>
        <family val="2"/>
      </rPr>
      <t xml:space="preserve"> </t>
    </r>
    <r>
      <rPr>
        <sz val="10"/>
        <rFont val="Calibri"/>
        <family val="2"/>
      </rPr>
      <t xml:space="preserve">5,644 BSB au fost acoperiți de programele de prevenire HIV, din 14,600 BSB estimați pentru această perioadă.                                                                                                           </t>
    </r>
  </si>
  <si>
    <r>
      <rPr>
        <b/>
        <sz val="10"/>
        <rFont val="Calibri"/>
        <family val="2"/>
      </rPr>
      <t xml:space="preserve">Date finale pentru a. 2023. </t>
    </r>
    <r>
      <rPr>
        <sz val="10"/>
        <rFont val="Calibri"/>
        <family val="2"/>
      </rPr>
      <t>La finele anului 2023,</t>
    </r>
    <r>
      <rPr>
        <b/>
        <sz val="10"/>
        <rFont val="Calibri"/>
        <family val="2"/>
      </rPr>
      <t xml:space="preserve"> </t>
    </r>
    <r>
      <rPr>
        <sz val="10"/>
        <rFont val="Calibri"/>
        <family val="2"/>
      </rPr>
      <t xml:space="preserve">432 BSB eligibili se aflau în tratamentul PrEP, din 6,047 BSB eligibili, în perioada de raportare.                                                                                                                           </t>
    </r>
  </si>
  <si>
    <r>
      <rPr>
        <b/>
        <sz val="10"/>
        <rFont val="Calibri"/>
        <family val="2"/>
      </rPr>
      <t xml:space="preserve">Date finale pentru a. 2023. </t>
    </r>
    <r>
      <rPr>
        <sz val="10"/>
        <rFont val="Calibri"/>
        <family val="2"/>
      </rPr>
      <t>La finele anului 2023,</t>
    </r>
    <r>
      <rPr>
        <b/>
        <sz val="10"/>
        <rFont val="Calibri"/>
        <family val="2"/>
      </rPr>
      <t xml:space="preserve"> </t>
    </r>
    <r>
      <rPr>
        <sz val="10"/>
        <rFont val="Calibri"/>
        <family val="2"/>
      </rPr>
      <t xml:space="preserve">3,601 BSB au fost testați pentru HIV și își cunosc rezultatele, din 14,600 BSB estimați pentru această perioadă.                                                                                                                 Notă - Datele sunt raportate de către toate ONG-urile active în domeniul HIV, în țară (finanțate din sursele FG și alte surse), cu excepția ANP. 
</t>
    </r>
  </si>
  <si>
    <r>
      <rPr>
        <b/>
        <sz val="10"/>
        <rFont val="Calibri"/>
        <family val="2"/>
      </rPr>
      <t>Date finale pentru a. 2023.</t>
    </r>
    <r>
      <rPr>
        <sz val="10"/>
        <rFont val="Calibri"/>
        <family val="2"/>
      </rPr>
      <t xml:space="preserve"> La finele anului 2023,</t>
    </r>
    <r>
      <rPr>
        <b/>
        <sz val="10"/>
        <rFont val="Calibri"/>
        <family val="2"/>
      </rPr>
      <t xml:space="preserve"> </t>
    </r>
    <r>
      <rPr>
        <sz val="10"/>
        <rFont val="Calibri"/>
        <family val="2"/>
      </rPr>
      <t xml:space="preserve">17,345 PCDI au fost acoperite de programele de prevenire HIV, din 27,500 PCDI estimate pentru această perioadă.                                                                                                          </t>
    </r>
  </si>
  <si>
    <r>
      <rPr>
        <b/>
        <sz val="10"/>
        <rFont val="Calibri"/>
        <family val="2"/>
      </rPr>
      <t xml:space="preserve">Date finale pentru a. 2023. </t>
    </r>
    <r>
      <rPr>
        <sz val="10"/>
        <rFont val="Calibri"/>
        <family val="2"/>
      </rPr>
      <t>La finele anului 2023,</t>
    </r>
    <r>
      <rPr>
        <b/>
        <sz val="10"/>
        <rFont val="Calibri"/>
        <family val="2"/>
      </rPr>
      <t xml:space="preserve"> </t>
    </r>
    <r>
      <rPr>
        <sz val="10"/>
        <rFont val="Calibri"/>
        <family val="2"/>
      </rPr>
      <t xml:space="preserve">8,464 LS au fost acoperiți de programele de prevenire HIV, din 15,800 LS estimați pentru această perioadă.                                                                                                              </t>
    </r>
  </si>
  <si>
    <r>
      <rPr>
        <b/>
        <sz val="10"/>
        <rFont val="Calibri"/>
        <family val="2"/>
      </rPr>
      <t xml:space="preserve">Date finale pentru a. 2023. </t>
    </r>
    <r>
      <rPr>
        <sz val="10"/>
        <rFont val="Calibri"/>
        <family val="2"/>
      </rPr>
      <t xml:space="preserve">La finele anului 2023, 6,590 LS au fost testați pentru HIV și își cunosc rezultatele, din 15,800 LS estimați pentru această perioadă.                                                                                                                   Notă - Datele sunt raportate de către toate ONG-urile active în domeniul HIV, în țară (finanțate din sursele FG și alte surse), cu excepția ANP. 
</t>
    </r>
  </si>
  <si>
    <r>
      <rPr>
        <b/>
        <sz val="10"/>
        <rFont val="Calibri"/>
        <family val="2"/>
      </rPr>
      <t xml:space="preserve">Date finale pentru a. 2023. </t>
    </r>
    <r>
      <rPr>
        <sz val="10"/>
        <rFont val="Calibri"/>
        <family val="2"/>
      </rPr>
      <t>La finele anului 2023,</t>
    </r>
    <r>
      <rPr>
        <b/>
        <sz val="10"/>
        <rFont val="Calibri"/>
        <family val="2"/>
      </rPr>
      <t xml:space="preserve"> </t>
    </r>
    <r>
      <rPr>
        <sz val="10"/>
        <rFont val="Calibri"/>
        <family val="2"/>
      </rPr>
      <t xml:space="preserve">10,676 PCDI au fost testate pentru HIV și își cunosc rezultatele, din 27,500 PCDI estimate pentru această perioadă.                                                                                                            Notă - Datele sunt raportate de către toate ONG-urile active în domeniul HIV, în țară (finanțate din sursele FG și alte surse), cu excepția ANP. 
</t>
    </r>
  </si>
  <si>
    <r>
      <rPr>
        <b/>
        <sz val="10"/>
        <rFont val="Calibri"/>
        <family val="2"/>
      </rPr>
      <t xml:space="preserve">Date finale pentru a. 2023. </t>
    </r>
    <r>
      <rPr>
        <sz val="10"/>
        <rFont val="Calibri"/>
        <family val="2"/>
      </rPr>
      <t xml:space="preserve">La finele anului 2023, un număr de 4,887 de deținuți au fost testați pentru HIV și își cunosc rezultatele. </t>
    </r>
  </si>
  <si>
    <t>În conformitate cu condițiile contractuale, în perioada sem.II.2023, au fost recepționate rapoartele de progres trimestriale ale SR-ului (Centrul PAS), pentru perioada Q2 2023 - în luna iulie 2023 și pentru perioada Q3 2023 - în luna octombrie 2023.</t>
  </si>
  <si>
    <t xml:space="preserve">(i) La data de 31 decembrie 2023, analiza stocului de medicamente antituberculoase de linia I și II, pentru tratamentul tuberculozei drogrezistente, și a numărului de pacienți aflați în tratament la aceeași dată, arată prezența unui stock între 4 și 6 luni, pentru preparatele TB de bază.  (ii) Achiziția medicamentelor pentru tratamentul infecției  tuberculoase, întru asigurarea medicației a 6 875 beneficiari incluși în tratament preventiv, în perioada mai 2023 – martie 2024 (contract 160/GD/T cu Fundația IDA din 02.12.2022, în valoare totală de 93 430.83 USD), a fost finalizată (livrare integrală, în luna noiembrie 2023). </t>
  </si>
  <si>
    <t>Platfoma electronică TESTRAP</t>
  </si>
  <si>
    <t xml:space="preserve">Numărător: Numărul de decese cauzate de TB (toate formele) la persoanele HIV-negative, pe an, la 100,000 populație                                                                                                                                                     Numitor: Numărul total al populației în țară x 100,000 </t>
  </si>
  <si>
    <t xml:space="preserve">Numărător: Numărul estimat de decese cauzate de HIV/ SIDA, într-o anumită perioadă de timp           Numitor: Numărul total al populației indiferent de statutul HIV (per 100 000 persoane)                                              
                                </t>
  </si>
  <si>
    <t>Raportul anual al OMS (WHO Global TB)</t>
  </si>
  <si>
    <t xml:space="preserve">Sistemul R&amp;R TB/ Rapoarte anuale/ SYME TB - Modul DOTS Plus </t>
  </si>
  <si>
    <t>Numărător: Numărul de BSB eligibili, care au inițiat tratamentul oral antiretroviral PrEP, în perioada de raportare
Numitor: Numărul de BSB eligibili pentru inițierea tratamentul oral antiretroviral PrEP, în perioada de raportare</t>
  </si>
  <si>
    <t>Numărător: Numărul de PCDI care au beneficiat de un pachet definit de servicii de prevenire HIV                                                                                              Numitor: Numărul estimat de PCDI în Rep. Moldova</t>
  </si>
  <si>
    <t>Numărător: Numărul de PCDI care au raportat utilizarea setului pentru injectare steril, la ultima consumare de droguri injectabile
Numitor: Numărul de PCDI care au raportat consumarea de droguri injectabile în ultima lună</t>
  </si>
  <si>
    <t>HIV I-11⁽ᴹ⁾: Procentul persoanelor consumatoare de droguri injectabile care trăiesc cu HIV</t>
  </si>
  <si>
    <t>HIV O-6⁽ᴹ⁾: Procentul PCDI care raportează utilizarea setului pentru injectare steril la ultima lor injectare</t>
  </si>
  <si>
    <t>Numărător: Numărul de PCDI care au rezultat HIV pozitiv                                                                                                             Numitor: Numărul de PCDI testate pentru HIV</t>
  </si>
  <si>
    <t xml:space="preserve">KP-1d⁽ᴹ⁾: Procentul persoanelor consumatoare de droguri injectabile acoperite de programele de prevenire HIV - pachet definit de servicii </t>
  </si>
  <si>
    <t>HTS-3d⁽ᴹ⁾: Procentul PCDI care au fost testate pentru HIV, în perioada de raportare, și își cunosc rezultatele</t>
  </si>
  <si>
    <t>Numărător: Numărul de PCDI care au fost testate pentru HIV, în perioada de raportare, și își cunosc rezultatele
Numitor: Numărul estimat de PCDI în Rep. Moldova</t>
  </si>
  <si>
    <t>Indicatori de Program (Performance Framework)</t>
  </si>
  <si>
    <t>În cadrul echipei care gestionează Grantul MDA-C_PCIMU, începând cu luna octombrie 2023, postul de Asistent de proiect HIV a fost vacant.</t>
  </si>
  <si>
    <t>Pe parcursul sem.II.2023, a fost finisată livrarea de consumabile și reagenți, precum și de medicamente antituberculoase, destinate tratementului pacienților cu MDR-TB, în conformitate cu prevederile contractelor semnate de IP UCIMP DS.</t>
  </si>
  <si>
    <t>Raportul de progres anual PU/DR, pentru anul 2022, a fost remis la timp de către RP. Toate debursările către IP UCIMP DS din partea Fondului Global, precum și cele din partea RP către Centrul PAS (SR), au fost efectuate în termenii prestabiliți, conform acordurilor de finanțare.</t>
  </si>
  <si>
    <t>Debursările din partea Fondului Global au fost efectuate în conformitate cu Planul de debursări al donatorului, luând în considerație cheltuielile efectuate de RP, soldurile în cont și angajamentele și obligațiunile acestuia. Cumulativ, 89% din totalul grantului au fost debursate de donatorul FG către RP sau prin intermediul plăților directe.</t>
  </si>
  <si>
    <t xml:space="preserve">Către 31 decembrie 2023, în cadrul realizării Grantului, au fost valorificați 21 732 005.01 EURO, față de 23 492 633.59 EURO bugetați pentru perioada 01 ianuarie 2021 – 31 decembrie 2023, ceea ce constituie 93%. </t>
  </si>
  <si>
    <t>RSSH: Sisteme informaționale de management în sănătate și M&amp;E</t>
  </si>
  <si>
    <t>RSSH: Resurse umane în domeniul sănătății, inclusiv personal medical comunitar</t>
  </si>
  <si>
    <t>RSSH: Furnizarea serviciilor integrate și ameliorarea calității acestora</t>
  </si>
  <si>
    <t>RSSH: Sisteme de laboratoare</t>
  </si>
  <si>
    <t>Nefinalizate, care au depășit planul de realizare</t>
  </si>
  <si>
    <t>Nefinalizate, dar realizate în conformitate cu planul</t>
  </si>
  <si>
    <t>Finalizate</t>
  </si>
  <si>
    <t>Zile necesare pentru remiterea PU/DR anual sau PU anual final către AL (LFA)</t>
  </si>
  <si>
    <t xml:space="preserve">Variațiile majore se explică prin următoarele: 
1. Intervenția: Detectarea si diagnosticarea cazurilor (MDR-TB)
a. Procurare de consumabile/ reagenți pentru TS la medicamente și de cartușe GeneXpert (402.54 mii EUR);
b. Procurare de echipament X-ray digital pentru Spitalul TB Bender (267.85 mii EUR).
2. Intervenția: Populații cheie (MDR-TB)
	a. Activități în populațiile cheie (MDR-TB): screening GRSI cu utilizarea IA (377.91 mii EUR).
3. Intervenția: Tratament (MDR-TB)
	a. Procurare de medicamente pentru tratamentul TB-MDR și activități focusate pe administrarea mSTR (763.20 mii EUR);
	b. Suport motivațional pentru asigurarea aderenței la tratament, Transnistria (110.19 mii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</si>
</sst>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 numFmtId="177" formatCode="#,##0;[Red]#,##0"/>
  </numFmts>
  <fonts count="151">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theme="1"/>
      <name val="Calibri"/>
      <family val="2"/>
    </font>
    <font>
      <sz val="22"/>
      <color theme="0"/>
      <name val="Calibri"/>
      <family val="2"/>
      <charset val="204"/>
    </font>
    <font>
      <sz val="14"/>
      <color theme="0"/>
      <name val="Calibri"/>
      <family val="2"/>
    </font>
    <font>
      <i/>
      <sz val="11"/>
      <name val="Calibri"/>
      <family val="2"/>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9"/>
      <name val="Calibri"/>
      <family val="2"/>
    </font>
    <font>
      <sz val="8"/>
      <name val="Calibri"/>
      <family val="2"/>
      <charset val="204"/>
    </font>
    <font>
      <sz val="7.7"/>
      <name val="Calibri"/>
      <family val="2"/>
      <charset val="204"/>
      <scheme val="minor"/>
    </font>
    <font>
      <sz val="10"/>
      <color rgb="FFFF0000"/>
      <name val="Calibri"/>
      <family val="2"/>
    </font>
    <font>
      <sz val="9"/>
      <name val="Calibri"/>
      <family val="2"/>
      <scheme val="minor"/>
    </font>
    <font>
      <sz val="7.7"/>
      <name val="Calibri"/>
      <family val="2"/>
    </font>
    <font>
      <b/>
      <sz val="12"/>
      <color rgb="FFFF0000"/>
      <name val="Calibri"/>
      <family val="2"/>
      <charset val="204"/>
    </font>
    <font>
      <sz val="11"/>
      <color rgb="FFFF0000"/>
      <name val="Arial"/>
      <family val="2"/>
    </font>
    <font>
      <sz val="11"/>
      <color theme="0" tint="-4.9989318521683403E-2"/>
      <name val="Calibri"/>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b/>
      <sz val="10"/>
      <color theme="1"/>
      <name val="Calibri"/>
      <family val="2"/>
      <scheme val="minor"/>
    </font>
    <font>
      <b/>
      <sz val="11"/>
      <color theme="1"/>
      <name val="Calibri"/>
      <family val="2"/>
      <scheme val="minor"/>
    </font>
    <font>
      <b/>
      <sz val="11"/>
      <color rgb="FFFF0000"/>
      <name val="Calibri"/>
      <family val="2"/>
      <scheme val="minor"/>
    </font>
    <font>
      <sz val="11"/>
      <color theme="0" tint="-4.9989318521683403E-2"/>
      <name val="Calibri"/>
      <family val="2"/>
      <scheme val="minor"/>
    </font>
    <font>
      <b/>
      <sz val="11"/>
      <name val="Calibri"/>
      <family val="2"/>
      <scheme val="minor"/>
    </font>
    <font>
      <sz val="11"/>
      <color theme="0"/>
      <name val="Calibri"/>
      <family val="2"/>
    </font>
    <font>
      <sz val="11"/>
      <color theme="0"/>
      <name val="Calibri"/>
      <family val="2"/>
      <scheme val="minor"/>
    </font>
    <font>
      <sz val="8"/>
      <color rgb="FFFF0000"/>
      <name val="Calibri"/>
      <family val="2"/>
    </font>
    <font>
      <sz val="8"/>
      <color theme="1"/>
      <name val="Calibri"/>
      <family val="2"/>
      <scheme val="minor"/>
    </font>
    <font>
      <sz val="8"/>
      <color indexed="9"/>
      <name val="Calibri"/>
      <family val="2"/>
    </font>
    <font>
      <b/>
      <sz val="11"/>
      <color theme="6" tint="-0.249977111117893"/>
      <name val="Arial"/>
      <family val="2"/>
    </font>
    <font>
      <sz val="11"/>
      <color theme="6" tint="-0.249977111117893"/>
      <name val="Arial"/>
      <family val="2"/>
    </font>
    <font>
      <sz val="11"/>
      <color theme="5" tint="-0.249977111117893"/>
      <name val="Calibri"/>
      <family val="2"/>
      <scheme val="minor"/>
    </font>
    <font>
      <b/>
      <sz val="10"/>
      <name val="Calibri"/>
      <family val="2"/>
    </font>
    <font>
      <b/>
      <sz val="11"/>
      <color theme="9" tint="-0.249977111117893"/>
      <name val="Arial"/>
      <family val="2"/>
    </font>
    <font>
      <sz val="11"/>
      <color theme="9" tint="-0.249977111117893"/>
      <name val="Arial"/>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9"/>
        <bgColor theme="0" tint="-4.9989318521683403E-2"/>
      </patternFill>
    </fill>
    <fill>
      <patternFill patternType="gray0625">
        <fgColor indexed="52"/>
        <bgColor theme="0" tint="-4.9989318521683403E-2"/>
      </patternFill>
    </fill>
    <fill>
      <patternFill patternType="gray0625">
        <fgColor theme="9"/>
        <bgColor rgb="FF00B050"/>
      </patternFill>
    </fill>
    <fill>
      <patternFill patternType="solid">
        <fgColor rgb="FF00B050"/>
        <bgColor indexed="51"/>
      </patternFill>
    </fill>
    <fill>
      <patternFill patternType="solid">
        <fgColor rgb="FF00B050"/>
        <bgColor indexed="52"/>
      </patternFill>
    </fill>
    <fill>
      <patternFill patternType="gray0625">
        <fgColor indexed="52"/>
        <bgColor rgb="FF00B050"/>
      </patternFill>
    </fill>
    <fill>
      <patternFill patternType="solid">
        <fgColor rgb="FF92D050"/>
        <bgColor indexed="64"/>
      </patternFill>
    </fill>
    <fill>
      <patternFill patternType="gray0625">
        <fgColor theme="9"/>
        <bgColor rgb="FF92D050"/>
      </patternFill>
    </fill>
    <fill>
      <patternFill patternType="solid">
        <fgColor rgb="FF92D050"/>
        <bgColor indexed="51"/>
      </patternFill>
    </fill>
    <fill>
      <patternFill patternType="solid">
        <fgColor rgb="FF92D050"/>
        <bgColor indexed="52"/>
      </patternFill>
    </fill>
    <fill>
      <patternFill patternType="gray0625">
        <fgColor indexed="52"/>
        <bgColor rgb="FF92D050"/>
      </patternFill>
    </fill>
  </fills>
  <borders count="228">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
      <left style="medium">
        <color indexed="51"/>
      </left>
      <right/>
      <top/>
      <bottom/>
      <diagonal/>
    </border>
    <border>
      <left style="thin">
        <color indexed="64"/>
      </left>
      <right style="medium">
        <color indexed="51"/>
      </right>
      <top style="thin">
        <color theme="1"/>
      </top>
      <bottom/>
      <diagonal/>
    </border>
    <border>
      <left style="thin">
        <color indexed="64"/>
      </left>
      <right style="medium">
        <color indexed="51"/>
      </right>
      <top/>
      <bottom style="thin">
        <color indexed="64"/>
      </bottom>
      <diagonal/>
    </border>
    <border>
      <left style="thin">
        <color indexed="64"/>
      </left>
      <right style="medium">
        <color indexed="51"/>
      </right>
      <top style="thin">
        <color indexed="64"/>
      </top>
      <bottom/>
      <diagonal/>
    </border>
    <border>
      <left style="thin">
        <color indexed="64"/>
      </left>
      <right style="medium">
        <color indexed="51"/>
      </right>
      <top/>
      <bottom style="thin">
        <color theme="1"/>
      </bottom>
      <diagonal/>
    </border>
    <border>
      <left style="medium">
        <color indexed="51"/>
      </left>
      <right style="medium">
        <color indexed="51"/>
      </right>
      <top style="thin">
        <color theme="1"/>
      </top>
      <bottom/>
      <diagonal/>
    </border>
    <border>
      <left style="medium">
        <color indexed="51"/>
      </left>
      <right style="medium">
        <color indexed="51"/>
      </right>
      <top/>
      <bottom style="thin">
        <color theme="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3"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3" fillId="0" borderId="0"/>
    <xf numFmtId="164" fontId="103" fillId="0" borderId="0"/>
    <xf numFmtId="164" fontId="103" fillId="0" borderId="0"/>
    <xf numFmtId="164" fontId="103" fillId="0" borderId="0"/>
    <xf numFmtId="170" fontId="45" fillId="0" borderId="0"/>
    <xf numFmtId="9" fontId="3" fillId="0" borderId="0" applyFont="0" applyFill="0" applyBorder="0" applyAlignment="0" applyProtection="0"/>
    <xf numFmtId="164" fontId="103"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3" fillId="0" borderId="1" applyNumberFormat="0" applyFill="0" applyAlignment="0" applyProtection="0"/>
  </cellStyleXfs>
  <cellXfs count="853">
    <xf numFmtId="170" fontId="0" fillId="0" borderId="0" xfId="0"/>
    <xf numFmtId="164" fontId="9" fillId="0" borderId="0" xfId="4" applyFont="1" applyAlignment="1">
      <alignment vertical="center"/>
    </xf>
    <xf numFmtId="164" fontId="15" fillId="0" borderId="0" xfId="4" applyFont="1" applyAlignment="1">
      <alignment vertical="center"/>
    </xf>
    <xf numFmtId="170" fontId="14" fillId="0" borderId="0" xfId="0" applyFont="1"/>
    <xf numFmtId="164" fontId="12" fillId="0" borderId="0" xfId="15" applyFont="1"/>
    <xf numFmtId="164" fontId="12" fillId="0" borderId="0" xfId="15" applyFont="1" applyAlignment="1">
      <alignment horizontal="center"/>
    </xf>
    <xf numFmtId="164" fontId="12" fillId="0" borderId="0" xfId="15" applyFont="1" applyAlignment="1">
      <alignment horizontal="right"/>
    </xf>
    <xf numFmtId="164" fontId="103" fillId="0" borderId="0" xfId="14"/>
    <xf numFmtId="164" fontId="8" fillId="0" borderId="0" xfId="14" applyFont="1"/>
    <xf numFmtId="170" fontId="11" fillId="0" borderId="0" xfId="14" applyNumberFormat="1" applyFont="1"/>
    <xf numFmtId="164" fontId="103" fillId="0" borderId="0" xfId="16"/>
    <xf numFmtId="164" fontId="103" fillId="0" borderId="0" xfId="16" applyAlignment="1">
      <alignment horizontal="left"/>
    </xf>
    <xf numFmtId="170" fontId="8" fillId="0" borderId="0" xfId="0" applyFont="1"/>
    <xf numFmtId="164" fontId="8" fillId="0" borderId="0" xfId="16" applyFont="1"/>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70" fontId="0" fillId="0" borderId="2" xfId="0" applyBorder="1" applyAlignment="1">
      <alignment horizontal="center"/>
    </xf>
    <xf numFmtId="170" fontId="34" fillId="0" borderId="0" xfId="0" applyFont="1"/>
    <xf numFmtId="170" fontId="34" fillId="0" borderId="0" xfId="0" applyFont="1" applyAlignment="1">
      <alignment horizontal="right"/>
    </xf>
    <xf numFmtId="170" fontId="36" fillId="0" borderId="0" xfId="0" applyFont="1"/>
    <xf numFmtId="170" fontId="0" fillId="0" borderId="2" xfId="0" applyBorder="1"/>
    <xf numFmtId="170" fontId="0" fillId="0" borderId="0" xfId="0" applyAlignment="1">
      <alignment horizontal="center"/>
    </xf>
    <xf numFmtId="170" fontId="8" fillId="0" borderId="0" xfId="0" applyFont="1" applyAlignment="1">
      <alignment horizontal="center"/>
    </xf>
    <xf numFmtId="170" fontId="16" fillId="0" borderId="0" xfId="0" applyFont="1"/>
    <xf numFmtId="170" fontId="8" fillId="0" borderId="0" xfId="0" applyFont="1" applyAlignment="1">
      <alignment horizontal="left" indent="1"/>
    </xf>
    <xf numFmtId="170" fontId="11" fillId="0" borderId="0" xfId="0" applyFont="1" applyAlignment="1">
      <alignment horizontal="left" indent="1"/>
    </xf>
    <xf numFmtId="164" fontId="47" fillId="0" borderId="0" xfId="14" applyFont="1"/>
    <xf numFmtId="164" fontId="47" fillId="0" borderId="0" xfId="16" applyFont="1"/>
    <xf numFmtId="170" fontId="47" fillId="0" borderId="2" xfId="0" applyFont="1" applyBorder="1" applyAlignment="1">
      <alignment horizontal="center"/>
    </xf>
    <xf numFmtId="170" fontId="47" fillId="0" borderId="2" xfId="0" applyFont="1" applyBorder="1"/>
    <xf numFmtId="164" fontId="47" fillId="0" borderId="2" xfId="16" applyFont="1" applyBorder="1"/>
    <xf numFmtId="170" fontId="48" fillId="0" borderId="2" xfId="0" applyFont="1" applyBorder="1" applyAlignment="1">
      <alignment horizontal="left" indent="1"/>
    </xf>
    <xf numFmtId="170" fontId="49" fillId="0" borderId="2" xfId="0" applyFont="1" applyBorder="1"/>
    <xf numFmtId="170" fontId="50" fillId="2" borderId="2" xfId="0" applyFont="1" applyFill="1" applyBorder="1" applyAlignment="1">
      <alignment horizontal="center"/>
    </xf>
    <xf numFmtId="170" fontId="26" fillId="0" borderId="0" xfId="0" applyFont="1" applyAlignment="1">
      <alignment horizontal="center"/>
    </xf>
    <xf numFmtId="164" fontId="42" fillId="0" borderId="0" xfId="13" applyFont="1" applyAlignment="1">
      <alignment vertical="center"/>
    </xf>
    <xf numFmtId="170" fontId="7" fillId="0" borderId="0" xfId="0" applyFont="1"/>
    <xf numFmtId="170" fontId="53" fillId="2" borderId="3" xfId="0" applyFont="1" applyFill="1" applyBorder="1" applyAlignment="1">
      <alignment vertical="center"/>
    </xf>
    <xf numFmtId="170" fontId="51" fillId="0" borderId="0" xfId="18" applyFont="1" applyAlignment="1">
      <alignment horizontal="center" vertical="center" wrapText="1"/>
    </xf>
    <xf numFmtId="170" fontId="51" fillId="4" borderId="4" xfId="18" applyFont="1" applyFill="1" applyBorder="1" applyAlignment="1">
      <alignment horizontal="center" vertical="center" wrapText="1"/>
    </xf>
    <xf numFmtId="170" fontId="54" fillId="0" borderId="0" xfId="0" applyFont="1" applyAlignment="1">
      <alignment horizontal="left"/>
    </xf>
    <xf numFmtId="15" fontId="0" fillId="0" borderId="0" xfId="0" applyNumberFormat="1"/>
    <xf numFmtId="170" fontId="0" fillId="0" borderId="2" xfId="0" quotePrefix="1" applyBorder="1"/>
    <xf numFmtId="164" fontId="24" fillId="0" borderId="5" xfId="23" applyFont="1" applyBorder="1" applyAlignment="1" applyProtection="1"/>
    <xf numFmtId="164" fontId="103" fillId="0" borderId="5" xfId="23" applyFill="1" applyBorder="1" applyAlignment="1" applyProtection="1">
      <alignment vertical="center"/>
    </xf>
    <xf numFmtId="164" fontId="3" fillId="0" borderId="5" xfId="23" applyFont="1" applyFill="1" applyBorder="1" applyAlignment="1" applyProtection="1">
      <alignment vertical="center"/>
    </xf>
    <xf numFmtId="164" fontId="24" fillId="0" borderId="0" xfId="23" applyFont="1" applyBorder="1" applyAlignment="1" applyProtection="1"/>
    <xf numFmtId="164" fontId="103"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6" xfId="0" applyFont="1" applyBorder="1" applyAlignment="1">
      <alignment horizontal="center"/>
    </xf>
    <xf numFmtId="15" fontId="25" fillId="0" borderId="7" xfId="0" applyNumberFormat="1" applyFont="1" applyBorder="1" applyAlignment="1">
      <alignment horizontal="center"/>
    </xf>
    <xf numFmtId="170" fontId="25" fillId="0" borderId="8" xfId="0" applyFont="1" applyBorder="1" applyAlignment="1">
      <alignment horizontal="center"/>
    </xf>
    <xf numFmtId="166" fontId="8" fillId="0" borderId="0" xfId="0" applyNumberFormat="1" applyFont="1"/>
    <xf numFmtId="10" fontId="4" fillId="0" borderId="0" xfId="19" applyNumberFormat="1" applyFont="1" applyFill="1" applyBorder="1" applyAlignment="1" applyProtection="1">
      <alignment horizontal="center"/>
    </xf>
    <xf numFmtId="170" fontId="4" fillId="0" borderId="0" xfId="0" applyFont="1"/>
    <xf numFmtId="170" fontId="19" fillId="0" borderId="0" xfId="0" applyFont="1" applyAlignment="1">
      <alignment horizontal="centerContinuous"/>
    </xf>
    <xf numFmtId="170" fontId="0" fillId="0" borderId="0" xfId="0" applyAlignment="1">
      <alignment horizontal="centerContinuous"/>
    </xf>
    <xf numFmtId="15" fontId="19" fillId="0" borderId="9" xfId="0" applyNumberFormat="1" applyFont="1" applyBorder="1"/>
    <xf numFmtId="170" fontId="19" fillId="0" borderId="9" xfId="0" applyFont="1" applyBorder="1"/>
    <xf numFmtId="170" fontId="19" fillId="0" borderId="10" xfId="0" applyFont="1" applyBorder="1"/>
    <xf numFmtId="164" fontId="31" fillId="0" borderId="11" xfId="23" applyFont="1" applyBorder="1" applyAlignment="1" applyProtection="1"/>
    <xf numFmtId="164" fontId="32" fillId="0" borderId="11" xfId="23" applyFont="1" applyFill="1" applyBorder="1" applyAlignment="1" applyProtection="1">
      <alignment vertical="center"/>
    </xf>
    <xf numFmtId="164" fontId="32" fillId="0" borderId="11"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Alignment="1">
      <alignment horizontal="center"/>
    </xf>
    <xf numFmtId="170" fontId="7" fillId="0" borderId="12" xfId="0" applyFont="1" applyBorder="1" applyAlignment="1">
      <alignment horizontal="center"/>
    </xf>
    <xf numFmtId="170" fontId="7" fillId="0" borderId="12" xfId="0" applyFont="1" applyBorder="1" applyAlignment="1">
      <alignment horizontal="center" wrapText="1"/>
    </xf>
    <xf numFmtId="170" fontId="7" fillId="0" borderId="13" xfId="0" applyFont="1" applyBorder="1" applyAlignment="1">
      <alignment horizontal="center"/>
    </xf>
    <xf numFmtId="170" fontId="7" fillId="0" borderId="14" xfId="0" applyFont="1" applyBorder="1" applyAlignment="1">
      <alignment horizontal="center"/>
    </xf>
    <xf numFmtId="170" fontId="7" fillId="0" borderId="15" xfId="0" applyFont="1" applyBorder="1" applyAlignment="1">
      <alignment horizontal="center"/>
    </xf>
    <xf numFmtId="1" fontId="14" fillId="3" borderId="16" xfId="0" applyNumberFormat="1" applyFont="1" applyFill="1" applyBorder="1" applyAlignment="1">
      <alignment horizontal="center"/>
    </xf>
    <xf numFmtId="170" fontId="0" fillId="0" borderId="17" xfId="0" applyBorder="1"/>
    <xf numFmtId="170" fontId="0" fillId="0" borderId="13" xfId="0" applyBorder="1" applyAlignment="1">
      <alignment horizontal="center"/>
    </xf>
    <xf numFmtId="170" fontId="0" fillId="0" borderId="15" xfId="0" applyBorder="1" applyAlignment="1">
      <alignment horizontal="center"/>
    </xf>
    <xf numFmtId="170" fontId="25" fillId="0" borderId="12" xfId="0" applyFont="1" applyBorder="1" applyAlignment="1">
      <alignment horizontal="center"/>
    </xf>
    <xf numFmtId="170" fontId="25" fillId="0" borderId="13" xfId="0" applyFont="1" applyBorder="1" applyAlignment="1">
      <alignment horizontal="center"/>
    </xf>
    <xf numFmtId="170" fontId="0" fillId="0" borderId="0" xfId="0" applyAlignment="1">
      <alignment horizontal="center" wrapText="1"/>
    </xf>
    <xf numFmtId="164" fontId="72" fillId="0" borderId="0" xfId="1" applyFont="1" applyFill="1" applyBorder="1" applyProtection="1"/>
    <xf numFmtId="164" fontId="0" fillId="0" borderId="0" xfId="0" applyNumberFormat="1"/>
    <xf numFmtId="164" fontId="46" fillId="0" borderId="18" xfId="23" applyFont="1" applyFill="1" applyBorder="1" applyAlignment="1" applyProtection="1"/>
    <xf numFmtId="164" fontId="32" fillId="0" borderId="18" xfId="23" applyFont="1" applyFill="1" applyBorder="1" applyAlignment="1" applyProtection="1">
      <alignment vertical="center"/>
    </xf>
    <xf numFmtId="166" fontId="21" fillId="0" borderId="0" xfId="1" applyNumberFormat="1" applyFont="1" applyAlignment="1" applyProtection="1">
      <alignment horizontal="left"/>
    </xf>
    <xf numFmtId="15" fontId="21" fillId="0" borderId="0" xfId="0" applyNumberFormat="1" applyFont="1" applyAlignment="1">
      <alignment horizontal="left"/>
    </xf>
    <xf numFmtId="166" fontId="21" fillId="0" borderId="0" xfId="1" applyNumberFormat="1" applyFont="1" applyBorder="1" applyAlignment="1" applyProtection="1">
      <alignment horizontal="left"/>
    </xf>
    <xf numFmtId="170" fontId="12" fillId="0" borderId="0" xfId="0" applyFont="1" applyAlignment="1">
      <alignment horizontal="center"/>
    </xf>
    <xf numFmtId="170" fontId="0" fillId="0" borderId="13" xfId="0" applyBorder="1" applyAlignment="1">
      <alignment horizontal="center" wrapText="1"/>
    </xf>
    <xf numFmtId="170" fontId="35" fillId="0" borderId="0" xfId="0" applyFont="1" applyAlignment="1">
      <alignment horizontal="left" vertical="center"/>
    </xf>
    <xf numFmtId="170" fontId="35" fillId="0" borderId="0" xfId="0" applyFont="1" applyAlignment="1">
      <alignment horizontal="left"/>
    </xf>
    <xf numFmtId="167" fontId="35" fillId="0" borderId="0" xfId="0" applyNumberFormat="1" applyFont="1" applyAlignment="1">
      <alignment horizontal="left"/>
    </xf>
    <xf numFmtId="170" fontId="37" fillId="0" borderId="0" xfId="0" applyFont="1" applyAlignment="1">
      <alignment horizontal="right"/>
    </xf>
    <xf numFmtId="3" fontId="40" fillId="0" borderId="0" xfId="0" applyNumberFormat="1" applyFont="1" applyAlignment="1">
      <alignment horizontal="right" vertical="center"/>
    </xf>
    <xf numFmtId="170" fontId="38" fillId="3" borderId="0" xfId="0" applyFont="1" applyFill="1" applyAlignment="1">
      <alignment horizontal="right"/>
    </xf>
    <xf numFmtId="170" fontId="39" fillId="3" borderId="0" xfId="0" applyFont="1" applyFill="1" applyAlignment="1">
      <alignment horizontal="center" vertical="center"/>
    </xf>
    <xf numFmtId="170" fontId="43" fillId="0" borderId="0" xfId="0" applyFont="1" applyAlignment="1">
      <alignment horizontal="center"/>
    </xf>
    <xf numFmtId="170" fontId="38" fillId="0" borderId="0" xfId="0" applyFont="1" applyAlignment="1">
      <alignment horizontal="right"/>
    </xf>
    <xf numFmtId="170" fontId="47" fillId="0" borderId="0" xfId="0" applyFont="1"/>
    <xf numFmtId="170" fontId="21" fillId="0" borderId="0" xfId="0" applyFont="1" applyAlignment="1">
      <alignment horizontal="center"/>
    </xf>
    <xf numFmtId="15" fontId="21" fillId="0" borderId="0" xfId="0" applyNumberFormat="1" applyFont="1" applyAlignment="1">
      <alignment horizontal="center"/>
    </xf>
    <xf numFmtId="164" fontId="0" fillId="0" borderId="0" xfId="0" applyNumberFormat="1" applyAlignment="1">
      <alignment horizontal="right"/>
    </xf>
    <xf numFmtId="3" fontId="0" fillId="0" borderId="0" xfId="0" applyNumberFormat="1"/>
    <xf numFmtId="164" fontId="30" fillId="0" borderId="0" xfId="0" applyNumberFormat="1" applyFont="1"/>
    <xf numFmtId="3" fontId="8" fillId="3" borderId="0" xfId="0" applyNumberFormat="1" applyFont="1" applyFill="1"/>
    <xf numFmtId="165" fontId="8" fillId="3" borderId="0" xfId="0" applyNumberFormat="1" applyFont="1" applyFill="1"/>
    <xf numFmtId="170" fontId="21" fillId="0" borderId="22" xfId="0" applyFont="1" applyBorder="1" applyAlignment="1">
      <alignment horizontal="center" wrapText="1"/>
    </xf>
    <xf numFmtId="170" fontId="0" fillId="0" borderId="23" xfId="0" applyBorder="1"/>
    <xf numFmtId="164" fontId="10" fillId="0" borderId="0" xfId="12" applyFont="1" applyAlignment="1">
      <alignment horizontal="center" vertical="center"/>
    </xf>
    <xf numFmtId="164" fontId="13" fillId="0" borderId="24" xfId="20" applyFont="1" applyBorder="1" applyAlignment="1" applyProtection="1">
      <alignment horizontal="right"/>
    </xf>
    <xf numFmtId="164" fontId="62" fillId="0" borderId="0" xfId="0" applyNumberFormat="1" applyFont="1"/>
    <xf numFmtId="170" fontId="62" fillId="0" borderId="0" xfId="0" applyFont="1"/>
    <xf numFmtId="164" fontId="103" fillId="0" borderId="0" xfId="17" applyAlignment="1">
      <alignment horizontal="center"/>
    </xf>
    <xf numFmtId="170" fontId="27" fillId="0" borderId="0" xfId="0" quotePrefix="1" applyFont="1"/>
    <xf numFmtId="164" fontId="64" fillId="0" borderId="18" xfId="23" applyFont="1" applyFill="1" applyBorder="1" applyAlignment="1" applyProtection="1"/>
    <xf numFmtId="164" fontId="5" fillId="0" borderId="18" xfId="23" applyFont="1" applyFill="1" applyBorder="1" applyAlignment="1" applyProtection="1">
      <alignment vertical="center"/>
    </xf>
    <xf numFmtId="170" fontId="60" fillId="0" borderId="26" xfId="0" applyFont="1" applyBorder="1" applyAlignment="1">
      <alignment vertical="center" wrapText="1"/>
    </xf>
    <xf numFmtId="170" fontId="2" fillId="0" borderId="29" xfId="0" applyFont="1" applyBorder="1" applyAlignment="1">
      <alignment horizontal="center"/>
    </xf>
    <xf numFmtId="170" fontId="1" fillId="0" borderId="0" xfId="0" applyFont="1"/>
    <xf numFmtId="170" fontId="67" fillId="0" borderId="0" xfId="0" applyFont="1"/>
    <xf numFmtId="164" fontId="69" fillId="0" borderId="18" xfId="23" applyFont="1" applyFill="1" applyBorder="1" applyAlignment="1" applyProtection="1">
      <alignment vertical="center"/>
    </xf>
    <xf numFmtId="170" fontId="68" fillId="0" borderId="0" xfId="0" applyFont="1"/>
    <xf numFmtId="15" fontId="29" fillId="0" borderId="0" xfId="0" applyNumberFormat="1" applyFont="1" applyAlignment="1">
      <alignment horizontal="center"/>
    </xf>
    <xf numFmtId="166" fontId="0" fillId="0" borderId="0" xfId="0" applyNumberFormat="1"/>
    <xf numFmtId="170" fontId="74" fillId="0" borderId="0" xfId="0" applyFont="1" applyAlignment="1">
      <alignment horizontal="right"/>
    </xf>
    <xf numFmtId="164" fontId="75" fillId="0" borderId="5" xfId="23" applyFont="1" applyFill="1" applyBorder="1" applyAlignment="1" applyProtection="1">
      <alignment horizontal="left" vertical="center"/>
    </xf>
    <xf numFmtId="170" fontId="76" fillId="0" borderId="0" xfId="0" applyFont="1"/>
    <xf numFmtId="170" fontId="74" fillId="0" borderId="0" xfId="0" applyFont="1"/>
    <xf numFmtId="3" fontId="4" fillId="0" borderId="0" xfId="0" applyNumberFormat="1" applyFont="1" applyAlignment="1">
      <alignment horizontal="right"/>
    </xf>
    <xf numFmtId="15" fontId="73" fillId="0" borderId="0" xfId="0" applyNumberFormat="1" applyFont="1" applyAlignment="1">
      <alignment horizontal="left"/>
    </xf>
    <xf numFmtId="170" fontId="79" fillId="0" borderId="0" xfId="0" applyFont="1" applyAlignment="1">
      <alignment horizontal="center" wrapText="1"/>
    </xf>
    <xf numFmtId="170" fontId="0" fillId="0" borderId="0" xfId="0" quotePrefix="1"/>
    <xf numFmtId="15" fontId="25" fillId="0" borderId="31" xfId="0" applyNumberFormat="1" applyFont="1" applyBorder="1" applyAlignment="1">
      <alignment horizontal="center"/>
    </xf>
    <xf numFmtId="15" fontId="22" fillId="0" borderId="0" xfId="0" applyNumberFormat="1" applyFont="1" applyAlignment="1">
      <alignment horizontal="center" vertical="center" wrapText="1"/>
    </xf>
    <xf numFmtId="164" fontId="84" fillId="0" borderId="0" xfId="4" applyFont="1" applyAlignment="1">
      <alignment vertical="center"/>
    </xf>
    <xf numFmtId="170" fontId="85" fillId="0" borderId="0" xfId="0" applyFont="1"/>
    <xf numFmtId="170" fontId="71" fillId="0" borderId="0" xfId="0" applyFont="1" applyAlignment="1">
      <alignment horizontal="center" vertical="center"/>
    </xf>
    <xf numFmtId="170" fontId="4" fillId="0" borderId="32" xfId="0" applyFont="1" applyBorder="1"/>
    <xf numFmtId="170" fontId="4" fillId="0" borderId="33" xfId="0" applyFont="1" applyBorder="1"/>
    <xf numFmtId="170" fontId="18" fillId="0" borderId="34" xfId="0" applyFont="1" applyBorder="1" applyAlignment="1">
      <alignment vertical="distributed"/>
    </xf>
    <xf numFmtId="15" fontId="20" fillId="0" borderId="35" xfId="0" applyNumberFormat="1" applyFont="1" applyBorder="1" applyAlignment="1">
      <alignment horizontal="center" vertical="center" wrapText="1"/>
    </xf>
    <xf numFmtId="170" fontId="19" fillId="0" borderId="36" xfId="0" applyFont="1" applyBorder="1"/>
    <xf numFmtId="15" fontId="19" fillId="0" borderId="2" xfId="0" applyNumberFormat="1" applyFont="1" applyBorder="1" applyAlignment="1">
      <alignment horizontal="center"/>
    </xf>
    <xf numFmtId="15" fontId="19" fillId="0" borderId="37" xfId="0" applyNumberFormat="1" applyFont="1" applyBorder="1" applyAlignment="1">
      <alignment horizontal="center"/>
    </xf>
    <xf numFmtId="15" fontId="81" fillId="0" borderId="23" xfId="0" applyNumberFormat="1" applyFont="1" applyBorder="1" applyAlignment="1">
      <alignment horizontal="center" wrapText="1"/>
    </xf>
    <xf numFmtId="15" fontId="81" fillId="0" borderId="38" xfId="0" applyNumberFormat="1" applyFont="1" applyBorder="1" applyAlignment="1">
      <alignment horizontal="center" wrapText="1"/>
    </xf>
    <xf numFmtId="170" fontId="73" fillId="0" borderId="0" xfId="0" applyFont="1" applyAlignment="1">
      <alignment horizontal="center"/>
    </xf>
    <xf numFmtId="170" fontId="78" fillId="0" borderId="0" xfId="0" applyFont="1" applyAlignment="1">
      <alignment horizontal="center" vertical="center"/>
    </xf>
    <xf numFmtId="170" fontId="0" fillId="0" borderId="39" xfId="0" applyBorder="1" applyAlignment="1">
      <alignment horizontal="center"/>
    </xf>
    <xf numFmtId="170" fontId="0" fillId="0" borderId="23" xfId="0" applyBorder="1" applyAlignment="1">
      <alignment horizontal="center"/>
    </xf>
    <xf numFmtId="170" fontId="1" fillId="0" borderId="22" xfId="0" applyFont="1" applyBorder="1" applyAlignment="1">
      <alignment horizontal="center" wrapText="1"/>
    </xf>
    <xf numFmtId="170" fontId="1" fillId="0" borderId="38" xfId="0" applyFont="1" applyBorder="1" applyAlignment="1">
      <alignment horizontal="center" wrapText="1"/>
    </xf>
    <xf numFmtId="170" fontId="51" fillId="0" borderId="40" xfId="0" applyFont="1" applyBorder="1" applyAlignment="1">
      <alignment horizontal="center" vertical="center"/>
    </xf>
    <xf numFmtId="164" fontId="81" fillId="0" borderId="0" xfId="0" applyNumberFormat="1" applyFont="1" applyAlignment="1">
      <alignment vertical="center" wrapText="1"/>
    </xf>
    <xf numFmtId="170" fontId="81" fillId="0" borderId="0" xfId="0" applyFont="1" applyAlignment="1">
      <alignment wrapText="1"/>
    </xf>
    <xf numFmtId="164" fontId="13" fillId="0" borderId="24" xfId="20" applyFont="1" applyFill="1" applyBorder="1" applyAlignment="1" applyProtection="1">
      <alignment horizontal="right"/>
    </xf>
    <xf numFmtId="170" fontId="27" fillId="0" borderId="41" xfId="0" applyFont="1" applyBorder="1" applyAlignment="1">
      <alignment horizontal="center" wrapText="1"/>
    </xf>
    <xf numFmtId="170" fontId="21" fillId="0" borderId="0" xfId="0" applyFont="1" applyAlignment="1">
      <alignment wrapText="1"/>
    </xf>
    <xf numFmtId="9" fontId="83" fillId="8" borderId="2" xfId="19" applyFont="1" applyFill="1" applyBorder="1" applyAlignment="1" applyProtection="1">
      <alignment horizontal="center" vertical="center" wrapText="1"/>
    </xf>
    <xf numFmtId="170" fontId="0" fillId="0" borderId="18" xfId="0" applyBorder="1"/>
    <xf numFmtId="164" fontId="86" fillId="0" borderId="18" xfId="23" applyFont="1" applyFill="1" applyBorder="1" applyAlignment="1" applyProtection="1">
      <alignment vertical="center"/>
    </xf>
    <xf numFmtId="9" fontId="8" fillId="0" borderId="0" xfId="19" applyFont="1" applyProtection="1"/>
    <xf numFmtId="14" fontId="17" fillId="6" borderId="24" xfId="20" applyNumberFormat="1" applyFont="1" applyFill="1" applyBorder="1" applyAlignment="1" applyProtection="1">
      <alignment horizontal="center" vertical="center"/>
    </xf>
    <xf numFmtId="164" fontId="17" fillId="6" borderId="24" xfId="20" applyFont="1" applyFill="1" applyBorder="1" applyAlignment="1" applyProtection="1">
      <alignment horizontal="center" vertical="center"/>
    </xf>
    <xf numFmtId="170" fontId="17" fillId="6" borderId="24" xfId="20" applyNumberFormat="1" applyFont="1" applyFill="1" applyBorder="1" applyAlignment="1" applyProtection="1">
      <alignment horizontal="center"/>
    </xf>
    <xf numFmtId="3" fontId="17" fillId="6" borderId="24" xfId="20" applyNumberFormat="1" applyFont="1" applyFill="1" applyBorder="1" applyAlignment="1" applyProtection="1">
      <alignment horizontal="center"/>
    </xf>
    <xf numFmtId="170" fontId="27" fillId="0" borderId="22" xfId="0" applyFont="1" applyBorder="1" applyAlignment="1">
      <alignment horizontal="center" wrapText="1"/>
    </xf>
    <xf numFmtId="49" fontId="0" fillId="0" borderId="0" xfId="0" applyNumberFormat="1"/>
    <xf numFmtId="3" fontId="0" fillId="0" borderId="2" xfId="0" applyNumberFormat="1" applyBorder="1"/>
    <xf numFmtId="4" fontId="0" fillId="0" borderId="0" xfId="0" applyNumberFormat="1"/>
    <xf numFmtId="170" fontId="0" fillId="0" borderId="49" xfId="0" applyBorder="1" applyAlignment="1">
      <alignment horizontal="center"/>
    </xf>
    <xf numFmtId="164" fontId="93" fillId="0" borderId="0" xfId="16" applyFont="1"/>
    <xf numFmtId="3" fontId="21" fillId="9" borderId="44" xfId="0" applyNumberFormat="1" applyFont="1" applyFill="1" applyBorder="1" applyProtection="1">
      <protection locked="0"/>
    </xf>
    <xf numFmtId="3" fontId="21" fillId="9" borderId="50" xfId="0" applyNumberFormat="1" applyFont="1" applyFill="1" applyBorder="1" applyProtection="1">
      <protection locked="0"/>
    </xf>
    <xf numFmtId="3" fontId="21" fillId="0" borderId="2" xfId="0" applyNumberFormat="1" applyFont="1" applyBorder="1"/>
    <xf numFmtId="3" fontId="21" fillId="0" borderId="51" xfId="0" applyNumberFormat="1" applyFont="1" applyBorder="1"/>
    <xf numFmtId="170" fontId="0" fillId="9" borderId="2" xfId="0" applyFill="1" applyBorder="1"/>
    <xf numFmtId="170" fontId="0" fillId="6" borderId="2" xfId="0" applyFill="1" applyBorder="1"/>
    <xf numFmtId="49" fontId="18" fillId="0" borderId="56" xfId="0" applyNumberFormat="1" applyFont="1" applyBorder="1" applyAlignment="1">
      <alignment vertical="center" wrapText="1"/>
    </xf>
    <xf numFmtId="170" fontId="63" fillId="0" borderId="57" xfId="0" applyFont="1" applyBorder="1" applyAlignment="1">
      <alignment horizontal="center" vertical="center" wrapText="1"/>
    </xf>
    <xf numFmtId="170" fontId="63" fillId="0" borderId="58" xfId="0" applyFont="1" applyBorder="1" applyAlignment="1">
      <alignment horizontal="center" vertical="center" wrapText="1"/>
    </xf>
    <xf numFmtId="170" fontId="0" fillId="0" borderId="60" xfId="0" applyBorder="1"/>
    <xf numFmtId="164" fontId="103" fillId="9" borderId="61" xfId="23" applyFill="1" applyBorder="1" applyAlignment="1" applyProtection="1">
      <alignment vertical="center"/>
    </xf>
    <xf numFmtId="170" fontId="0" fillId="0" borderId="11" xfId="0" applyBorder="1"/>
    <xf numFmtId="164" fontId="32" fillId="6" borderId="63" xfId="23" applyFont="1" applyFill="1" applyBorder="1" applyAlignment="1" applyProtection="1">
      <alignment horizontal="center" vertical="center"/>
    </xf>
    <xf numFmtId="164" fontId="32" fillId="0" borderId="64" xfId="23" applyFont="1" applyFill="1" applyBorder="1" applyAlignment="1" applyProtection="1">
      <alignment vertical="center"/>
    </xf>
    <xf numFmtId="170" fontId="0" fillId="0" borderId="65" xfId="0" applyBorder="1"/>
    <xf numFmtId="15" fontId="20" fillId="0" borderId="66" xfId="0" applyNumberFormat="1" applyFont="1" applyBorder="1" applyAlignment="1">
      <alignment horizontal="center" vertical="center" wrapText="1"/>
    </xf>
    <xf numFmtId="170" fontId="0" fillId="0" borderId="2" xfId="0" quotePrefix="1" applyBorder="1" applyAlignment="1">
      <alignment horizontal="center"/>
    </xf>
    <xf numFmtId="168" fontId="0" fillId="0" borderId="2" xfId="0" applyNumberFormat="1" applyBorder="1" applyAlignment="1">
      <alignment horizontal="center"/>
    </xf>
    <xf numFmtId="164" fontId="47" fillId="0" borderId="2" xfId="16" applyFont="1" applyBorder="1" applyAlignment="1">
      <alignment horizontal="center"/>
    </xf>
    <xf numFmtId="170" fontId="45" fillId="10" borderId="2" xfId="0" applyFont="1" applyFill="1" applyBorder="1" applyAlignment="1">
      <alignment horizontal="center"/>
    </xf>
    <xf numFmtId="170" fontId="45" fillId="11" borderId="2" xfId="0" applyFont="1" applyFill="1" applyBorder="1" applyAlignment="1">
      <alignment horizontal="center"/>
    </xf>
    <xf numFmtId="170" fontId="0" fillId="0" borderId="43" xfId="0" applyBorder="1"/>
    <xf numFmtId="3" fontId="0" fillId="0" borderId="43" xfId="0" applyNumberFormat="1" applyBorder="1"/>
    <xf numFmtId="168" fontId="0" fillId="0" borderId="43" xfId="0" applyNumberFormat="1" applyBorder="1" applyAlignment="1">
      <alignment horizontal="center"/>
    </xf>
    <xf numFmtId="170" fontId="0" fillId="0" borderId="80" xfId="0" applyBorder="1" applyAlignment="1">
      <alignment horizontal="center" wrapText="1"/>
    </xf>
    <xf numFmtId="168" fontId="0" fillId="0" borderId="81" xfId="0" applyNumberFormat="1" applyBorder="1"/>
    <xf numFmtId="168" fontId="0" fillId="0" borderId="82" xfId="0" applyNumberFormat="1" applyBorder="1"/>
    <xf numFmtId="170" fontId="99" fillId="0" borderId="2" xfId="0" applyFont="1" applyBorder="1" applyAlignment="1">
      <alignment horizontal="center"/>
    </xf>
    <xf numFmtId="170" fontId="99" fillId="10" borderId="2" xfId="0" applyFont="1" applyFill="1" applyBorder="1" applyAlignment="1">
      <alignment horizontal="center"/>
    </xf>
    <xf numFmtId="164" fontId="100" fillId="0" borderId="11" xfId="23" applyFont="1" applyFill="1" applyBorder="1" applyAlignment="1" applyProtection="1">
      <alignment vertical="center"/>
    </xf>
    <xf numFmtId="164" fontId="26" fillId="0" borderId="0" xfId="0" applyNumberFormat="1" applyFont="1" applyAlignment="1">
      <alignment horizontal="center"/>
    </xf>
    <xf numFmtId="170" fontId="51" fillId="0" borderId="83" xfId="0" applyFont="1" applyBorder="1" applyAlignment="1">
      <alignment horizontal="center" vertical="center" wrapText="1"/>
    </xf>
    <xf numFmtId="170" fontId="99" fillId="0" borderId="77" xfId="0" applyFont="1" applyBorder="1" applyAlignment="1">
      <alignment horizontal="center"/>
    </xf>
    <xf numFmtId="170" fontId="101" fillId="0" borderId="84" xfId="0" applyFont="1" applyBorder="1" applyAlignment="1">
      <alignment wrapText="1"/>
    </xf>
    <xf numFmtId="170" fontId="27" fillId="0" borderId="23" xfId="0" applyFont="1" applyBorder="1" applyAlignment="1">
      <alignment horizontal="center" wrapText="1"/>
    </xf>
    <xf numFmtId="170" fontId="85" fillId="0" borderId="0" xfId="0" applyFont="1" applyAlignment="1">
      <alignment horizontal="right"/>
    </xf>
    <xf numFmtId="170" fontId="104" fillId="0" borderId="0" xfId="0" applyFont="1" applyAlignment="1">
      <alignment horizontal="left" vertical="center"/>
    </xf>
    <xf numFmtId="3" fontId="30" fillId="0" borderId="36" xfId="0" applyNumberFormat="1" applyFont="1" applyBorder="1" applyAlignment="1">
      <alignment horizontal="center"/>
    </xf>
    <xf numFmtId="3" fontId="30" fillId="0" borderId="80" xfId="0" applyNumberFormat="1" applyFont="1" applyBorder="1" applyAlignment="1">
      <alignment horizontal="center"/>
    </xf>
    <xf numFmtId="171" fontId="17" fillId="6" borderId="24" xfId="20" applyNumberFormat="1" applyFont="1" applyFill="1" applyBorder="1" applyAlignment="1" applyProtection="1">
      <alignment horizontal="center" vertical="center"/>
    </xf>
    <xf numFmtId="170" fontId="51" fillId="0" borderId="87" xfId="0" applyFont="1" applyBorder="1" applyAlignment="1">
      <alignment horizontal="center" vertical="center" wrapText="1"/>
    </xf>
    <xf numFmtId="170" fontId="38" fillId="0" borderId="88" xfId="0" applyFont="1" applyBorder="1" applyAlignment="1">
      <alignment horizontal="right"/>
    </xf>
    <xf numFmtId="170" fontId="51" fillId="0" borderId="89" xfId="0" applyFont="1" applyBorder="1" applyAlignment="1">
      <alignment horizontal="center"/>
    </xf>
    <xf numFmtId="170" fontId="38" fillId="0" borderId="90" xfId="0" applyFont="1" applyBorder="1" applyAlignment="1">
      <alignment horizontal="right"/>
    </xf>
    <xf numFmtId="170" fontId="51" fillId="0" borderId="91" xfId="0" applyFont="1" applyBorder="1" applyAlignment="1">
      <alignment horizontal="center"/>
    </xf>
    <xf numFmtId="170" fontId="38" fillId="0" borderId="92" xfId="0" applyFont="1" applyBorder="1" applyAlignment="1">
      <alignment horizontal="right"/>
    </xf>
    <xf numFmtId="170" fontId="51" fillId="0" borderId="93" xfId="0" applyFont="1" applyBorder="1" applyAlignment="1">
      <alignment horizontal="center"/>
    </xf>
    <xf numFmtId="170" fontId="38" fillId="0" borderId="94" xfId="0" applyFont="1" applyBorder="1" applyAlignment="1">
      <alignment horizontal="right"/>
    </xf>
    <xf numFmtId="170" fontId="51" fillId="0" borderId="95" xfId="0" applyFont="1" applyBorder="1" applyAlignment="1">
      <alignment horizontal="center" vertical="center"/>
    </xf>
    <xf numFmtId="170" fontId="38" fillId="0" borderId="96" xfId="0" applyFont="1" applyBorder="1" applyAlignment="1">
      <alignment horizontal="right"/>
    </xf>
    <xf numFmtId="170" fontId="51" fillId="0" borderId="97" xfId="0" applyFont="1" applyBorder="1" applyAlignment="1">
      <alignment horizontal="center"/>
    </xf>
    <xf numFmtId="170" fontId="38" fillId="0" borderId="98" xfId="0" applyFont="1" applyBorder="1" applyAlignment="1">
      <alignment horizontal="right"/>
    </xf>
    <xf numFmtId="170" fontId="51" fillId="0" borderId="97" xfId="0" applyFont="1" applyBorder="1" applyAlignment="1">
      <alignment horizontal="center" vertical="center"/>
    </xf>
    <xf numFmtId="3" fontId="80" fillId="9" borderId="44" xfId="0" applyNumberFormat="1" applyFont="1" applyFill="1" applyBorder="1" applyProtection="1">
      <protection locked="0"/>
    </xf>
    <xf numFmtId="3" fontId="80" fillId="9" borderId="50" xfId="0" applyNumberFormat="1" applyFont="1" applyFill="1" applyBorder="1" applyProtection="1">
      <protection locked="0"/>
    </xf>
    <xf numFmtId="3" fontId="80" fillId="0" borderId="2" xfId="0" applyNumberFormat="1" applyFont="1" applyBorder="1"/>
    <xf numFmtId="3" fontId="80" fillId="0" borderId="51" xfId="0" applyNumberFormat="1" applyFont="1" applyBorder="1"/>
    <xf numFmtId="3" fontId="106" fillId="9" borderId="81" xfId="0" applyNumberFormat="1" applyFont="1" applyFill="1" applyBorder="1" applyAlignment="1">
      <alignment horizontal="centerContinuous"/>
    </xf>
    <xf numFmtId="171" fontId="21" fillId="0" borderId="0" xfId="0" applyNumberFormat="1" applyFont="1" applyAlignment="1">
      <alignment horizontal="center"/>
    </xf>
    <xf numFmtId="170" fontId="99" fillId="19" borderId="2" xfId="0" applyFont="1" applyFill="1" applyBorder="1" applyAlignment="1">
      <alignment horizontal="center"/>
    </xf>
    <xf numFmtId="175" fontId="21" fillId="0" borderId="2" xfId="0" applyNumberFormat="1" applyFont="1" applyBorder="1" applyAlignment="1">
      <alignment horizontal="center" vertical="center" wrapText="1"/>
    </xf>
    <xf numFmtId="165" fontId="8" fillId="0" borderId="0" xfId="0" applyNumberFormat="1" applyFont="1"/>
    <xf numFmtId="170" fontId="77" fillId="0" borderId="0" xfId="0" applyFont="1" applyAlignment="1">
      <alignment horizontal="center" vertical="center"/>
    </xf>
    <xf numFmtId="170" fontId="4" fillId="0" borderId="0" xfId="0" applyFont="1" applyAlignment="1">
      <alignment horizontal="centerContinuous"/>
    </xf>
    <xf numFmtId="15" fontId="4" fillId="0" borderId="0" xfId="0" applyNumberFormat="1" applyFont="1" applyAlignment="1">
      <alignment horizontal="centerContinuous"/>
    </xf>
    <xf numFmtId="15" fontId="4" fillId="0" borderId="0" xfId="0" applyNumberFormat="1" applyFont="1" applyAlignment="1">
      <alignment horizontal="center"/>
    </xf>
    <xf numFmtId="170" fontId="34" fillId="0" borderId="0" xfId="0" applyFont="1" applyAlignment="1">
      <alignment horizontal="center"/>
    </xf>
    <xf numFmtId="170" fontId="111" fillId="0" borderId="0" xfId="0" applyFont="1" applyAlignment="1">
      <alignment horizontal="right"/>
    </xf>
    <xf numFmtId="170" fontId="111" fillId="0" borderId="85" xfId="0" applyFont="1" applyBorder="1" applyAlignment="1">
      <alignment horizontal="right"/>
    </xf>
    <xf numFmtId="3" fontId="14" fillId="9" borderId="44" xfId="0" applyNumberFormat="1" applyFont="1" applyFill="1" applyBorder="1" applyProtection="1">
      <protection locked="0"/>
    </xf>
    <xf numFmtId="3" fontId="14" fillId="0" borderId="214" xfId="0" applyNumberFormat="1" applyFont="1" applyBorder="1"/>
    <xf numFmtId="1" fontId="14" fillId="3" borderId="105" xfId="0" applyNumberFormat="1" applyFont="1" applyFill="1" applyBorder="1" applyAlignment="1">
      <alignment horizontal="center"/>
    </xf>
    <xf numFmtId="3" fontId="105" fillId="0" borderId="16" xfId="0" applyNumberFormat="1" applyFont="1" applyBorder="1" applyAlignment="1">
      <alignment horizontal="center"/>
    </xf>
    <xf numFmtId="170" fontId="105" fillId="0" borderId="0" xfId="0" applyFont="1"/>
    <xf numFmtId="1" fontId="105" fillId="0" borderId="105" xfId="0" applyNumberFormat="1" applyFont="1" applyBorder="1" applyAlignment="1">
      <alignment horizontal="center"/>
    </xf>
    <xf numFmtId="9" fontId="112" fillId="0" borderId="0" xfId="0" applyNumberFormat="1" applyFont="1"/>
    <xf numFmtId="170" fontId="91" fillId="0" borderId="0" xfId="0" applyFont="1" applyAlignment="1">
      <alignment horizontal="center" vertical="center"/>
    </xf>
    <xf numFmtId="9" fontId="112" fillId="0" borderId="0" xfId="0" applyNumberFormat="1" applyFont="1" applyAlignment="1">
      <alignment horizontal="center"/>
    </xf>
    <xf numFmtId="169" fontId="40" fillId="3" borderId="0" xfId="0" applyNumberFormat="1" applyFont="1" applyFill="1" applyAlignment="1">
      <alignment vertical="center"/>
    </xf>
    <xf numFmtId="170" fontId="91" fillId="3" borderId="0" xfId="0" applyFont="1" applyFill="1" applyAlignment="1">
      <alignment horizontal="center" vertical="center"/>
    </xf>
    <xf numFmtId="170" fontId="113" fillId="3" borderId="0" xfId="0" applyFont="1" applyFill="1" applyAlignment="1">
      <alignment horizontal="center" vertical="center"/>
    </xf>
    <xf numFmtId="168" fontId="40" fillId="3" borderId="0" xfId="19" applyNumberFormat="1" applyFont="1" applyFill="1" applyBorder="1" applyAlignment="1" applyProtection="1">
      <alignment horizontal="right"/>
    </xf>
    <xf numFmtId="9" fontId="112" fillId="3" borderId="0" xfId="0" applyNumberFormat="1" applyFont="1" applyFill="1"/>
    <xf numFmtId="9" fontId="112" fillId="3" borderId="0" xfId="0" applyNumberFormat="1" applyFont="1" applyFill="1" applyAlignment="1">
      <alignment horizontal="left"/>
    </xf>
    <xf numFmtId="170" fontId="23" fillId="0" borderId="0" xfId="0" applyFont="1" applyAlignment="1">
      <alignment horizontal="center" vertical="center"/>
    </xf>
    <xf numFmtId="170" fontId="40" fillId="3" borderId="0" xfId="0" applyFont="1" applyFill="1" applyAlignment="1">
      <alignment horizontal="left" vertical="center"/>
    </xf>
    <xf numFmtId="170" fontId="114" fillId="3" borderId="0" xfId="0" applyFont="1" applyFill="1" applyAlignment="1">
      <alignment horizontal="left" vertical="center"/>
    </xf>
    <xf numFmtId="170" fontId="41" fillId="0" borderId="0" xfId="0" applyFont="1" applyAlignment="1">
      <alignment horizontal="right"/>
    </xf>
    <xf numFmtId="170" fontId="41" fillId="0" borderId="0" xfId="0" applyFont="1"/>
    <xf numFmtId="170" fontId="116" fillId="0" borderId="0" xfId="0" applyFont="1"/>
    <xf numFmtId="170" fontId="117" fillId="0" borderId="0" xfId="0" applyFont="1" applyAlignment="1">
      <alignment horizontal="center" vertical="center"/>
    </xf>
    <xf numFmtId="170" fontId="118" fillId="0" borderId="0" xfId="0" applyFont="1" applyAlignment="1">
      <alignment horizontal="center" vertical="center"/>
    </xf>
    <xf numFmtId="170" fontId="118" fillId="0" borderId="0" xfId="0" applyFont="1" applyAlignment="1">
      <alignment horizontal="right" vertical="center" indent="1"/>
    </xf>
    <xf numFmtId="170" fontId="119" fillId="0" borderId="0" xfId="0" applyFont="1" applyAlignment="1">
      <alignment horizontal="center"/>
    </xf>
    <xf numFmtId="170" fontId="51" fillId="0" borderId="68" xfId="0" applyFont="1" applyBorder="1" applyAlignment="1">
      <alignment horizontal="center" vertical="center"/>
    </xf>
    <xf numFmtId="170" fontId="23" fillId="0" borderId="20" xfId="0" applyFont="1" applyBorder="1" applyAlignment="1">
      <alignment vertical="center"/>
    </xf>
    <xf numFmtId="170" fontId="51" fillId="0" borderId="69" xfId="0" applyFont="1" applyBorder="1" applyAlignment="1">
      <alignment horizontal="center" vertical="center"/>
    </xf>
    <xf numFmtId="170" fontId="23" fillId="0" borderId="21" xfId="0" applyFont="1" applyBorder="1" applyAlignment="1">
      <alignment vertical="center"/>
    </xf>
    <xf numFmtId="170" fontId="51" fillId="0" borderId="70" xfId="0" applyFont="1" applyBorder="1" applyAlignment="1">
      <alignment horizontal="center" vertical="center"/>
    </xf>
    <xf numFmtId="170" fontId="23" fillId="0" borderId="25" xfId="0" applyFont="1" applyBorder="1" applyAlignment="1">
      <alignment vertical="center"/>
    </xf>
    <xf numFmtId="3" fontId="8" fillId="0" borderId="0" xfId="0" applyNumberFormat="1" applyFont="1"/>
    <xf numFmtId="0" fontId="107" fillId="0" borderId="0" xfId="0" applyNumberFormat="1" applyFont="1" applyAlignment="1">
      <alignment horizontal="left" vertical="center"/>
    </xf>
    <xf numFmtId="3" fontId="106" fillId="22" borderId="82" xfId="0" applyNumberFormat="1" applyFont="1" applyFill="1" applyBorder="1" applyAlignment="1">
      <alignment horizontal="centerContinuous"/>
    </xf>
    <xf numFmtId="4" fontId="105" fillId="0" borderId="101" xfId="0" applyNumberFormat="1" applyFont="1" applyBorder="1"/>
    <xf numFmtId="4" fontId="14" fillId="0" borderId="52" xfId="1" applyNumberFormat="1" applyFont="1" applyFill="1" applyBorder="1" applyAlignment="1" applyProtection="1"/>
    <xf numFmtId="4" fontId="14" fillId="0" borderId="53" xfId="1" applyNumberFormat="1" applyFont="1" applyFill="1" applyBorder="1" applyAlignment="1" applyProtection="1"/>
    <xf numFmtId="170" fontId="74" fillId="0" borderId="0" xfId="0" applyFont="1" applyAlignment="1">
      <alignment horizontal="center"/>
    </xf>
    <xf numFmtId="3" fontId="21" fillId="9" borderId="220" xfId="0" applyNumberFormat="1" applyFont="1" applyFill="1" applyBorder="1" applyProtection="1">
      <protection locked="0"/>
    </xf>
    <xf numFmtId="3" fontId="80" fillId="9" borderId="220" xfId="0" applyNumberFormat="1" applyFont="1" applyFill="1" applyBorder="1" applyProtection="1">
      <protection locked="0"/>
    </xf>
    <xf numFmtId="4" fontId="105" fillId="0" borderId="102" xfId="0" applyNumberFormat="1" applyFont="1" applyBorder="1"/>
    <xf numFmtId="4" fontId="14" fillId="0" borderId="127" xfId="1" applyNumberFormat="1" applyFont="1" applyFill="1" applyBorder="1" applyAlignment="1" applyProtection="1"/>
    <xf numFmtId="176" fontId="79" fillId="0" borderId="0" xfId="19" applyNumberFormat="1" applyFont="1" applyFill="1" applyBorder="1" applyAlignment="1" applyProtection="1">
      <alignment horizontal="center"/>
    </xf>
    <xf numFmtId="175" fontId="45" fillId="0" borderId="2" xfId="0" applyNumberFormat="1" applyFont="1" applyBorder="1" applyAlignment="1">
      <alignment horizontal="center" vertical="center"/>
    </xf>
    <xf numFmtId="3" fontId="45" fillId="0" borderId="19" xfId="0" applyNumberFormat="1" applyFont="1" applyBorder="1" applyAlignment="1">
      <alignment horizontal="center" vertical="center"/>
    </xf>
    <xf numFmtId="4" fontId="45" fillId="0" borderId="2" xfId="0" applyNumberFormat="1" applyFont="1" applyBorder="1" applyAlignment="1">
      <alignment horizontal="center" vertical="center"/>
    </xf>
    <xf numFmtId="175" fontId="45" fillId="10" borderId="2" xfId="0" applyNumberFormat="1" applyFont="1" applyFill="1" applyBorder="1" applyAlignment="1">
      <alignment horizontal="center" vertical="center"/>
    </xf>
    <xf numFmtId="3" fontId="45" fillId="10" borderId="19" xfId="0" applyNumberFormat="1" applyFont="1" applyFill="1" applyBorder="1" applyAlignment="1">
      <alignment horizontal="center" vertical="center"/>
    </xf>
    <xf numFmtId="175" fontId="45" fillId="0" borderId="77" xfId="0" applyNumberFormat="1" applyFont="1" applyBorder="1" applyAlignment="1">
      <alignment horizontal="center" vertical="center"/>
    </xf>
    <xf numFmtId="3" fontId="45" fillId="0" borderId="78" xfId="0" applyNumberFormat="1" applyFont="1" applyBorder="1" applyAlignment="1">
      <alignment horizontal="center" vertical="center"/>
    </xf>
    <xf numFmtId="2" fontId="0" fillId="0" borderId="0" xfId="0" applyNumberFormat="1"/>
    <xf numFmtId="14" fontId="47" fillId="0" borderId="2" xfId="0" applyNumberFormat="1" applyFont="1" applyBorder="1" applyAlignment="1">
      <alignment horizontal="center"/>
    </xf>
    <xf numFmtId="171" fontId="14" fillId="24" borderId="2" xfId="20" applyNumberFormat="1" applyFont="1" applyFill="1" applyBorder="1" applyAlignment="1" applyProtection="1">
      <alignment horizontal="center"/>
      <protection locked="0"/>
    </xf>
    <xf numFmtId="170" fontId="44" fillId="0" borderId="26" xfId="0" applyFont="1" applyBorder="1" applyAlignment="1">
      <alignment horizontal="justify" vertical="center" wrapText="1"/>
    </xf>
    <xf numFmtId="170" fontId="44" fillId="0" borderId="27" xfId="0" applyFont="1" applyBorder="1" applyAlignment="1">
      <alignment horizontal="justify" vertical="center" wrapText="1"/>
    </xf>
    <xf numFmtId="170" fontId="44" fillId="0" borderId="28" xfId="0" applyFont="1" applyBorder="1" applyAlignment="1">
      <alignment horizontal="justify" vertical="center" wrapText="1"/>
    </xf>
    <xf numFmtId="170" fontId="0" fillId="0" borderId="75" xfId="0" applyBorder="1"/>
    <xf numFmtId="170" fontId="102" fillId="0" borderId="26" xfId="0" applyFont="1" applyBorder="1" applyAlignment="1" applyProtection="1">
      <alignment vertical="center" wrapText="1"/>
      <protection locked="0"/>
    </xf>
    <xf numFmtId="170" fontId="91" fillId="18" borderId="26" xfId="0" applyFont="1" applyFill="1" applyBorder="1" applyAlignment="1" applyProtection="1">
      <alignment vertical="center" wrapText="1"/>
      <protection locked="0"/>
    </xf>
    <xf numFmtId="170" fontId="91" fillId="18" borderId="27" xfId="0" applyFont="1" applyFill="1" applyBorder="1" applyAlignment="1" applyProtection="1">
      <alignment vertical="center" wrapText="1"/>
      <protection locked="0"/>
    </xf>
    <xf numFmtId="170" fontId="91" fillId="18" borderId="28" xfId="0" applyFont="1" applyFill="1" applyBorder="1" applyAlignment="1" applyProtection="1">
      <alignment vertical="center" wrapText="1"/>
      <protection locked="0"/>
    </xf>
    <xf numFmtId="170" fontId="130" fillId="18" borderId="27" xfId="0" applyFont="1" applyFill="1" applyBorder="1" applyAlignment="1" applyProtection="1">
      <alignment vertical="center" wrapText="1"/>
      <protection locked="0"/>
    </xf>
    <xf numFmtId="170" fontId="130" fillId="18" borderId="28" xfId="0" applyFont="1" applyFill="1" applyBorder="1" applyAlignment="1" applyProtection="1">
      <alignment vertical="center" wrapText="1"/>
      <protection locked="0"/>
    </xf>
    <xf numFmtId="170" fontId="91" fillId="0" borderId="26" xfId="0" applyFont="1" applyBorder="1" applyAlignment="1" applyProtection="1">
      <alignment vertical="center" wrapText="1"/>
      <protection locked="0"/>
    </xf>
    <xf numFmtId="170" fontId="91" fillId="18" borderId="27" xfId="0" applyFont="1" applyFill="1" applyBorder="1" applyAlignment="1" applyProtection="1">
      <alignment vertical="top" wrapText="1"/>
      <protection locked="0"/>
    </xf>
    <xf numFmtId="170" fontId="91" fillId="18" borderId="28" xfId="0" applyFont="1" applyFill="1" applyBorder="1" applyAlignment="1" applyProtection="1">
      <alignment vertical="top" wrapText="1"/>
      <protection locked="0"/>
    </xf>
    <xf numFmtId="170" fontId="130" fillId="18" borderId="27" xfId="0" applyFont="1" applyFill="1" applyBorder="1" applyAlignment="1" applyProtection="1">
      <alignment vertical="top" wrapText="1"/>
      <protection locked="0"/>
    </xf>
    <xf numFmtId="170" fontId="130" fillId="18" borderId="28" xfId="0" applyFont="1" applyFill="1" applyBorder="1" applyAlignment="1" applyProtection="1">
      <alignment vertical="top" wrapText="1"/>
      <protection locked="0"/>
    </xf>
    <xf numFmtId="170" fontId="0" fillId="0" borderId="28" xfId="0" applyBorder="1"/>
    <xf numFmtId="170" fontId="0" fillId="0" borderId="74" xfId="0" applyBorder="1"/>
    <xf numFmtId="170" fontId="0" fillId="0" borderId="110" xfId="0" applyBorder="1"/>
    <xf numFmtId="170" fontId="0" fillId="0" borderId="109" xfId="0" applyBorder="1"/>
    <xf numFmtId="170" fontId="0" fillId="0" borderId="106" xfId="0" applyBorder="1"/>
    <xf numFmtId="1" fontId="132" fillId="0" borderId="0" xfId="0" applyNumberFormat="1" applyFont="1" applyAlignment="1">
      <alignment vertical="center"/>
    </xf>
    <xf numFmtId="170" fontId="65" fillId="5" borderId="26" xfId="0" applyFont="1" applyFill="1" applyBorder="1" applyAlignment="1">
      <alignment vertical="center"/>
    </xf>
    <xf numFmtId="170" fontId="65" fillId="5" borderId="27" xfId="0" applyFont="1" applyFill="1" applyBorder="1" applyAlignment="1">
      <alignment vertical="center"/>
    </xf>
    <xf numFmtId="170" fontId="65" fillId="5" borderId="28" xfId="0" applyFont="1" applyFill="1" applyBorder="1" applyAlignment="1">
      <alignment vertical="center"/>
    </xf>
    <xf numFmtId="170" fontId="0" fillId="0" borderId="26" xfId="0" applyBorder="1" applyAlignment="1">
      <alignment vertical="center" wrapText="1"/>
    </xf>
    <xf numFmtId="170" fontId="0" fillId="0" borderId="27" xfId="0" applyBorder="1" applyAlignment="1">
      <alignment vertical="center" wrapText="1"/>
    </xf>
    <xf numFmtId="170" fontId="0" fillId="0" borderId="28" xfId="0" applyBorder="1" applyAlignment="1">
      <alignment vertical="center" wrapText="1"/>
    </xf>
    <xf numFmtId="170" fontId="58" fillId="0" borderId="0" xfId="0" applyFont="1"/>
    <xf numFmtId="170" fontId="66" fillId="5" borderId="26" xfId="0" applyFont="1" applyFill="1" applyBorder="1" applyAlignment="1">
      <alignment vertical="center" wrapText="1"/>
    </xf>
    <xf numFmtId="170" fontId="129" fillId="5" borderId="26" xfId="0" applyFont="1" applyFill="1" applyBorder="1" applyAlignment="1">
      <alignment vertical="center"/>
    </xf>
    <xf numFmtId="170" fontId="17" fillId="0" borderId="26" xfId="0" applyFont="1" applyBorder="1" applyAlignment="1">
      <alignment vertical="center" wrapText="1"/>
    </xf>
    <xf numFmtId="170" fontId="17" fillId="0" borderId="27" xfId="0" applyFont="1" applyBorder="1" applyAlignment="1">
      <alignment vertical="center" wrapText="1"/>
    </xf>
    <xf numFmtId="170" fontId="65" fillId="5" borderId="26" xfId="0" applyFont="1" applyFill="1" applyBorder="1" applyAlignment="1">
      <alignment wrapText="1"/>
    </xf>
    <xf numFmtId="170" fontId="65" fillId="5" borderId="26" xfId="0" applyFont="1" applyFill="1" applyBorder="1"/>
    <xf numFmtId="170" fontId="65" fillId="5" borderId="27" xfId="0" applyFont="1" applyFill="1" applyBorder="1"/>
    <xf numFmtId="170" fontId="65" fillId="5" borderId="28" xfId="0" applyFont="1" applyFill="1" applyBorder="1"/>
    <xf numFmtId="170" fontId="44" fillId="0" borderId="108" xfId="0" applyFont="1" applyBorder="1" applyAlignment="1">
      <alignment wrapText="1"/>
    </xf>
    <xf numFmtId="170" fontId="44" fillId="0" borderId="26" xfId="0" applyFont="1" applyBorder="1" applyAlignment="1">
      <alignment vertical="center" wrapText="1"/>
    </xf>
    <xf numFmtId="170" fontId="44" fillId="0" borderId="27" xfId="0" applyFont="1" applyBorder="1" applyAlignment="1">
      <alignment vertical="center" wrapText="1"/>
    </xf>
    <xf numFmtId="170" fontId="44" fillId="0" borderId="28" xfId="0" applyFont="1" applyBorder="1" applyAlignment="1">
      <alignment vertical="center" wrapText="1"/>
    </xf>
    <xf numFmtId="164" fontId="60" fillId="0" borderId="26" xfId="0" applyNumberFormat="1" applyFont="1" applyBorder="1" applyAlignment="1">
      <alignment vertical="center" wrapText="1"/>
    </xf>
    <xf numFmtId="170" fontId="91" fillId="0" borderId="110" xfId="0" applyFont="1" applyBorder="1" applyAlignment="1">
      <alignment vertical="center" wrapText="1"/>
    </xf>
    <xf numFmtId="170" fontId="91" fillId="0" borderId="26" xfId="0" applyFont="1" applyBorder="1" applyAlignment="1">
      <alignment vertical="center" wrapText="1"/>
    </xf>
    <xf numFmtId="170" fontId="91" fillId="0" borderId="27" xfId="0" applyFont="1" applyBorder="1" applyAlignment="1">
      <alignment vertical="center" wrapText="1"/>
    </xf>
    <xf numFmtId="170" fontId="91" fillId="0" borderId="28" xfId="0" applyFont="1" applyBorder="1" applyAlignment="1">
      <alignment vertical="center" wrapText="1"/>
    </xf>
    <xf numFmtId="164" fontId="60" fillId="0" borderId="108" xfId="0" applyNumberFormat="1" applyFont="1" applyBorder="1" applyAlignment="1">
      <alignment vertical="center" wrapText="1"/>
    </xf>
    <xf numFmtId="170" fontId="60" fillId="0" borderId="110" xfId="0" applyFont="1" applyBorder="1" applyAlignment="1">
      <alignment vertical="center" wrapText="1"/>
    </xf>
    <xf numFmtId="170" fontId="61" fillId="0" borderId="110" xfId="0" applyFont="1" applyBorder="1" applyAlignment="1">
      <alignment vertical="center" wrapText="1"/>
    </xf>
    <xf numFmtId="170" fontId="44" fillId="0" borderId="108" xfId="0" applyFont="1" applyBorder="1" applyAlignment="1">
      <alignment vertical="center" wrapText="1"/>
    </xf>
    <xf numFmtId="170" fontId="44" fillId="0" borderId="107" xfId="0" applyFont="1" applyBorder="1" applyAlignment="1">
      <alignment vertical="center" wrapText="1"/>
    </xf>
    <xf numFmtId="170" fontId="44" fillId="0" borderId="109" xfId="0" applyFont="1" applyBorder="1" applyAlignment="1">
      <alignment vertical="center" wrapText="1"/>
    </xf>
    <xf numFmtId="170" fontId="44" fillId="0" borderId="110" xfId="0" applyFont="1" applyBorder="1" applyAlignment="1">
      <alignment vertical="center" wrapText="1"/>
    </xf>
    <xf numFmtId="170" fontId="44" fillId="0" borderId="72" xfId="0" applyFont="1" applyBorder="1" applyAlignment="1">
      <alignment vertical="center" wrapText="1"/>
    </xf>
    <xf numFmtId="170" fontId="44" fillId="0" borderId="74" xfId="0" applyFont="1" applyBorder="1" applyAlignment="1">
      <alignment vertical="center" wrapText="1"/>
    </xf>
    <xf numFmtId="170" fontId="0" fillId="0" borderId="0" xfId="0" applyAlignment="1">
      <alignment wrapText="1"/>
    </xf>
    <xf numFmtId="170" fontId="59" fillId="6" borderId="26" xfId="0" applyFont="1" applyFill="1" applyBorder="1"/>
    <xf numFmtId="170" fontId="59" fillId="6" borderId="27" xfId="0" applyFont="1" applyFill="1" applyBorder="1"/>
    <xf numFmtId="170" fontId="59" fillId="6" borderId="28" xfId="0" applyFont="1" applyFill="1" applyBorder="1"/>
    <xf numFmtId="170" fontId="61" fillId="0" borderId="26" xfId="0" applyFont="1" applyBorder="1" applyAlignment="1">
      <alignment vertical="center" wrapText="1"/>
    </xf>
    <xf numFmtId="164" fontId="10" fillId="14" borderId="0" xfId="12" applyFont="1" applyFill="1" applyAlignment="1">
      <alignment vertical="center"/>
    </xf>
    <xf numFmtId="170" fontId="59" fillId="9" borderId="26" xfId="0" applyFont="1" applyFill="1" applyBorder="1"/>
    <xf numFmtId="170" fontId="59" fillId="9" borderId="27" xfId="0" applyFont="1" applyFill="1" applyBorder="1"/>
    <xf numFmtId="170" fontId="59" fillId="9" borderId="28" xfId="0" applyFont="1" applyFill="1" applyBorder="1"/>
    <xf numFmtId="9" fontId="61" fillId="0" borderId="26" xfId="19" applyFont="1" applyBorder="1" applyAlignment="1">
      <alignment vertical="center" wrapText="1"/>
    </xf>
    <xf numFmtId="170" fontId="0" fillId="0" borderId="107" xfId="0" applyBorder="1" applyAlignment="1">
      <alignment wrapText="1"/>
    </xf>
    <xf numFmtId="170" fontId="0" fillId="0" borderId="107" xfId="0" applyBorder="1"/>
    <xf numFmtId="170" fontId="135" fillId="0" borderId="0" xfId="0" applyFont="1" applyAlignment="1">
      <alignment horizontal="left" vertical="center"/>
    </xf>
    <xf numFmtId="170" fontId="26" fillId="25" borderId="0" xfId="0" applyFont="1" applyFill="1" applyAlignment="1">
      <alignment horizontal="center" vertical="center" textRotation="90"/>
    </xf>
    <xf numFmtId="0" fontId="91" fillId="18" borderId="26" xfId="0" applyNumberFormat="1" applyFont="1" applyFill="1" applyBorder="1" applyAlignment="1" applyProtection="1">
      <alignment vertical="center" wrapText="1"/>
      <protection locked="0"/>
    </xf>
    <xf numFmtId="176" fontId="21" fillId="0" borderId="2" xfId="19" applyNumberFormat="1" applyFont="1" applyBorder="1" applyAlignment="1" applyProtection="1">
      <alignment horizontal="center" vertical="center" wrapText="1"/>
    </xf>
    <xf numFmtId="10" fontId="21" fillId="0" borderId="2" xfId="19" applyNumberFormat="1" applyFont="1" applyBorder="1" applyAlignment="1" applyProtection="1">
      <alignment horizontal="center" vertical="center" wrapText="1"/>
    </xf>
    <xf numFmtId="170" fontId="0" fillId="0" borderId="12" xfId="0" applyBorder="1" applyAlignment="1">
      <alignment horizontal="center"/>
    </xf>
    <xf numFmtId="164" fontId="17" fillId="6" borderId="24" xfId="20" applyFont="1" applyFill="1" applyBorder="1" applyAlignment="1" applyProtection="1">
      <alignment horizontal="center"/>
    </xf>
    <xf numFmtId="164" fontId="1" fillId="0" borderId="24" xfId="20" applyFont="1" applyBorder="1" applyAlignment="1" applyProtection="1">
      <alignment horizontal="right"/>
    </xf>
    <xf numFmtId="164" fontId="13" fillId="0" borderId="0" xfId="15" applyFont="1" applyAlignment="1">
      <alignment horizontal="right" vertical="center"/>
    </xf>
    <xf numFmtId="171" fontId="17" fillId="6" borderId="24" xfId="20" applyNumberFormat="1" applyFont="1" applyFill="1" applyBorder="1" applyAlignment="1" applyProtection="1">
      <alignment horizontal="center"/>
    </xf>
    <xf numFmtId="15" fontId="21" fillId="0" borderId="0" xfId="0" applyNumberFormat="1" applyFont="1" applyAlignment="1">
      <alignment horizontal="right"/>
    </xf>
    <xf numFmtId="164" fontId="7" fillId="0" borderId="0" xfId="0" applyNumberFormat="1" applyFont="1" applyAlignment="1">
      <alignment horizontal="center"/>
    </xf>
    <xf numFmtId="170" fontId="27" fillId="0" borderId="2" xfId="0" applyFont="1" applyBorder="1" applyAlignment="1">
      <alignment horizontal="center" vertical="center" wrapText="1"/>
    </xf>
    <xf numFmtId="9" fontId="0" fillId="0" borderId="0" xfId="19" applyFont="1" applyProtection="1"/>
    <xf numFmtId="170" fontId="23" fillId="3" borderId="26" xfId="0" applyFont="1" applyFill="1" applyBorder="1"/>
    <xf numFmtId="168" fontId="143" fillId="3" borderId="2" xfId="0" applyNumberFormat="1" applyFont="1" applyFill="1" applyBorder="1" applyAlignment="1">
      <alignment horizontal="center"/>
    </xf>
    <xf numFmtId="168" fontId="143" fillId="0" borderId="2" xfId="0" applyNumberFormat="1" applyFont="1" applyBorder="1" applyAlignment="1">
      <alignment horizontal="center"/>
    </xf>
    <xf numFmtId="168" fontId="144" fillId="23" borderId="67" xfId="0" applyNumberFormat="1" applyFont="1" applyFill="1" applyBorder="1" applyAlignment="1">
      <alignment horizontal="center"/>
    </xf>
    <xf numFmtId="168" fontId="23" fillId="23" borderId="67" xfId="0" applyNumberFormat="1" applyFont="1" applyFill="1" applyBorder="1" applyAlignment="1">
      <alignment horizontal="center"/>
    </xf>
    <xf numFmtId="170" fontId="23" fillId="3" borderId="42" xfId="0" applyFont="1" applyFill="1" applyBorder="1"/>
    <xf numFmtId="168" fontId="143" fillId="3" borderId="43" xfId="0" applyNumberFormat="1" applyFont="1" applyFill="1" applyBorder="1" applyAlignment="1">
      <alignment horizontal="center"/>
    </xf>
    <xf numFmtId="168" fontId="143" fillId="0" borderId="43" xfId="0" applyNumberFormat="1" applyFont="1" applyBorder="1" applyAlignment="1">
      <alignment horizontal="center"/>
    </xf>
    <xf numFmtId="14" fontId="0" fillId="0" borderId="2" xfId="0" applyNumberFormat="1" applyBorder="1" applyAlignment="1">
      <alignment horizontal="center"/>
    </xf>
    <xf numFmtId="49" fontId="0" fillId="0" borderId="2" xfId="0" applyNumberFormat="1" applyBorder="1" applyAlignment="1">
      <alignment horizontal="center"/>
    </xf>
    <xf numFmtId="49" fontId="105" fillId="24" borderId="2" xfId="0" applyNumberFormat="1" applyFont="1" applyFill="1" applyBorder="1" applyAlignment="1">
      <alignment horizontal="center"/>
    </xf>
    <xf numFmtId="49" fontId="56" fillId="0" borderId="2" xfId="0" applyNumberFormat="1" applyFont="1" applyBorder="1" applyAlignment="1">
      <alignment horizontal="center" wrapText="1"/>
    </xf>
    <xf numFmtId="166" fontId="8" fillId="3" borderId="0" xfId="0" applyNumberFormat="1" applyFont="1" applyFill="1"/>
    <xf numFmtId="170" fontId="8" fillId="3" borderId="0" xfId="0" applyFont="1" applyFill="1"/>
    <xf numFmtId="165" fontId="25" fillId="2" borderId="44" xfId="0" applyNumberFormat="1" applyFont="1" applyFill="1" applyBorder="1" applyAlignment="1">
      <alignment horizontal="center"/>
    </xf>
    <xf numFmtId="165" fontId="25" fillId="2" borderId="45" xfId="0" applyNumberFormat="1" applyFont="1" applyFill="1" applyBorder="1" applyAlignment="1">
      <alignment horizontal="center"/>
    </xf>
    <xf numFmtId="165" fontId="25" fillId="0" borderId="46" xfId="0" applyNumberFormat="1" applyFont="1" applyBorder="1" applyAlignment="1">
      <alignment horizontal="center"/>
    </xf>
    <xf numFmtId="3" fontId="14" fillId="18" borderId="44" xfId="0" applyNumberFormat="1" applyFont="1" applyFill="1" applyBorder="1"/>
    <xf numFmtId="165" fontId="25" fillId="0" borderId="0" xfId="0" applyNumberFormat="1" applyFont="1" applyAlignment="1">
      <alignment horizontal="center"/>
    </xf>
    <xf numFmtId="49" fontId="19" fillId="0" borderId="59" xfId="0" applyNumberFormat="1" applyFont="1" applyBorder="1" applyAlignment="1">
      <alignment horizontal="justify" wrapText="1"/>
    </xf>
    <xf numFmtId="49" fontId="19" fillId="0" borderId="59" xfId="0" applyNumberFormat="1" applyFont="1" applyBorder="1" applyAlignment="1">
      <alignment horizontal="justify"/>
    </xf>
    <xf numFmtId="170" fontId="19" fillId="0" borderId="59" xfId="0" applyFont="1" applyBorder="1" applyAlignment="1">
      <alignment wrapText="1"/>
    </xf>
    <xf numFmtId="166" fontId="4" fillId="0" borderId="0" xfId="1" applyNumberFormat="1" applyFont="1" applyFill="1" applyBorder="1" applyAlignment="1" applyProtection="1"/>
    <xf numFmtId="166" fontId="4" fillId="0" borderId="0" xfId="1" applyNumberFormat="1" applyFont="1" applyFill="1" applyBorder="1" applyProtection="1"/>
    <xf numFmtId="170" fontId="80" fillId="0" borderId="0" xfId="0" applyFont="1" applyAlignment="1">
      <alignment horizontal="left"/>
    </xf>
    <xf numFmtId="164" fontId="32" fillId="0" borderId="0" xfId="23" applyFont="1" applyFill="1" applyBorder="1" applyAlignment="1" applyProtection="1">
      <alignment horizontal="center" vertical="center"/>
    </xf>
    <xf numFmtId="170" fontId="0" fillId="0" borderId="0" xfId="0" applyAlignment="1">
      <alignment horizontal="left" vertical="top"/>
    </xf>
    <xf numFmtId="15" fontId="0" fillId="0" borderId="0" xfId="0" applyNumberFormat="1" applyAlignment="1">
      <alignment horizontal="center"/>
    </xf>
    <xf numFmtId="3" fontId="105" fillId="3" borderId="16" xfId="0" applyNumberFormat="1" applyFont="1" applyFill="1" applyBorder="1" applyAlignment="1">
      <alignment horizontal="center"/>
    </xf>
    <xf numFmtId="165" fontId="25" fillId="2" borderId="47" xfId="0" applyNumberFormat="1" applyFont="1" applyFill="1" applyBorder="1" applyAlignment="1">
      <alignment horizontal="center"/>
    </xf>
    <xf numFmtId="165" fontId="25" fillId="2" borderId="48" xfId="0" applyNumberFormat="1" applyFont="1" applyFill="1" applyBorder="1" applyAlignment="1">
      <alignment horizontal="center"/>
    </xf>
    <xf numFmtId="170" fontId="0" fillId="0" borderId="22" xfId="0" applyBorder="1" applyAlignment="1">
      <alignment horizontal="center" wrapText="1"/>
    </xf>
    <xf numFmtId="49" fontId="0" fillId="6" borderId="2" xfId="0" applyNumberFormat="1" applyFill="1" applyBorder="1"/>
    <xf numFmtId="3" fontId="0" fillId="6" borderId="2" xfId="0" applyNumberFormat="1" applyFill="1" applyBorder="1"/>
    <xf numFmtId="170" fontId="0" fillId="6" borderId="2" xfId="0" applyFill="1" applyBorder="1" applyAlignment="1">
      <alignment horizontal="center"/>
    </xf>
    <xf numFmtId="49" fontId="0" fillId="6" borderId="43" xfId="0" applyNumberFormat="1" applyFill="1" applyBorder="1" applyAlignment="1">
      <alignment horizontal="left"/>
    </xf>
    <xf numFmtId="170" fontId="0" fillId="6" borderId="43" xfId="0" applyFill="1" applyBorder="1"/>
    <xf numFmtId="3" fontId="0" fillId="6" borderId="43" xfId="0" applyNumberFormat="1" applyFill="1" applyBorder="1"/>
    <xf numFmtId="170" fontId="0" fillId="6" borderId="43" xfId="0" applyFill="1" applyBorder="1" applyAlignment="1">
      <alignment horizontal="center"/>
    </xf>
    <xf numFmtId="170" fontId="0" fillId="5" borderId="62" xfId="0" applyFill="1" applyBorder="1"/>
    <xf numFmtId="165" fontId="7" fillId="2" borderId="54" xfId="0" applyNumberFormat="1" applyFont="1" applyFill="1" applyBorder="1" applyAlignment="1">
      <alignment horizontal="center"/>
    </xf>
    <xf numFmtId="165" fontId="7" fillId="2" borderId="55" xfId="0" applyNumberFormat="1" applyFont="1" applyFill="1" applyBorder="1" applyAlignment="1">
      <alignment horizontal="center"/>
    </xf>
    <xf numFmtId="2" fontId="131" fillId="0" borderId="221" xfId="0" applyNumberFormat="1" applyFont="1" applyBorder="1"/>
    <xf numFmtId="170" fontId="0" fillId="0" borderId="79" xfId="0" applyBorder="1"/>
    <xf numFmtId="4" fontId="14" fillId="9" borderId="99" xfId="1" applyNumberFormat="1" applyFont="1" applyFill="1" applyBorder="1" applyAlignment="1" applyProtection="1">
      <protection locked="0"/>
    </xf>
    <xf numFmtId="4" fontId="14" fillId="9" borderId="100" xfId="1" applyNumberFormat="1" applyFont="1" applyFill="1" applyBorder="1" applyProtection="1">
      <protection locked="0"/>
    </xf>
    <xf numFmtId="4" fontId="14" fillId="9" borderId="99" xfId="1" applyNumberFormat="1" applyFont="1" applyFill="1" applyBorder="1" applyProtection="1">
      <protection locked="0"/>
    </xf>
    <xf numFmtId="3" fontId="14" fillId="9" borderId="99" xfId="1" applyNumberFormat="1" applyFont="1" applyFill="1" applyBorder="1" applyAlignment="1" applyProtection="1">
      <protection locked="0"/>
    </xf>
    <xf numFmtId="3" fontId="14" fillId="9" borderId="100" xfId="1" applyNumberFormat="1" applyFont="1" applyFill="1" applyBorder="1" applyProtection="1">
      <protection locked="0"/>
    </xf>
    <xf numFmtId="4" fontId="14" fillId="9" borderId="2" xfId="1" applyNumberFormat="1" applyFont="1" applyFill="1" applyBorder="1" applyAlignment="1" applyProtection="1">
      <protection locked="0"/>
    </xf>
    <xf numFmtId="1" fontId="105" fillId="9" borderId="2" xfId="0" applyNumberFormat="1" applyFont="1" applyFill="1" applyBorder="1" applyAlignment="1" applyProtection="1">
      <alignment horizontal="center"/>
      <protection locked="0"/>
    </xf>
    <xf numFmtId="1" fontId="105" fillId="9" borderId="37" xfId="0" applyNumberFormat="1" applyFont="1" applyFill="1" applyBorder="1" applyAlignment="1" applyProtection="1">
      <alignment horizontal="center"/>
      <protection locked="0"/>
    </xf>
    <xf numFmtId="1" fontId="105" fillId="9" borderId="51" xfId="0" applyNumberFormat="1" applyFont="1" applyFill="1" applyBorder="1" applyAlignment="1" applyProtection="1">
      <alignment horizontal="center"/>
      <protection locked="0"/>
    </xf>
    <xf numFmtId="1" fontId="105" fillId="9" borderId="104" xfId="0" applyNumberFormat="1" applyFont="1" applyFill="1" applyBorder="1" applyAlignment="1" applyProtection="1">
      <alignment horizontal="center"/>
      <protection locked="0"/>
    </xf>
    <xf numFmtId="1" fontId="14" fillId="6" borderId="2" xfId="0" applyNumberFormat="1" applyFont="1" applyFill="1" applyBorder="1" applyAlignment="1" applyProtection="1">
      <alignment horizontal="center"/>
      <protection locked="0"/>
    </xf>
    <xf numFmtId="1" fontId="14" fillId="6" borderId="30" xfId="0" applyNumberFormat="1" applyFont="1" applyFill="1" applyBorder="1" applyAlignment="1" applyProtection="1">
      <alignment horizontal="center"/>
      <protection locked="0"/>
    </xf>
    <xf numFmtId="3" fontId="105" fillId="6" borderId="30" xfId="0" applyNumberFormat="1" applyFont="1" applyFill="1" applyBorder="1" applyAlignment="1" applyProtection="1">
      <alignment horizontal="center"/>
      <protection locked="0"/>
    </xf>
    <xf numFmtId="3" fontId="105" fillId="6" borderId="16" xfId="0" applyNumberFormat="1" applyFont="1" applyFill="1" applyBorder="1" applyAlignment="1" applyProtection="1">
      <alignment horizontal="center"/>
      <protection locked="0"/>
    </xf>
    <xf numFmtId="1" fontId="105" fillId="6" borderId="2" xfId="0" applyNumberFormat="1" applyFont="1" applyFill="1" applyBorder="1" applyAlignment="1" applyProtection="1">
      <alignment horizontal="center"/>
      <protection locked="0"/>
    </xf>
    <xf numFmtId="1" fontId="105" fillId="6" borderId="30" xfId="0" applyNumberFormat="1" applyFont="1" applyFill="1" applyBorder="1" applyAlignment="1" applyProtection="1">
      <alignment horizontal="center"/>
      <protection locked="0"/>
    </xf>
    <xf numFmtId="3" fontId="105" fillId="6" borderId="2" xfId="0" applyNumberFormat="1" applyFont="1" applyFill="1" applyBorder="1" applyAlignment="1" applyProtection="1">
      <alignment horizontal="right" wrapText="1"/>
      <protection locked="0"/>
    </xf>
    <xf numFmtId="3" fontId="0" fillId="6" borderId="2" xfId="0" applyNumberFormat="1" applyFill="1" applyBorder="1" applyAlignment="1" applyProtection="1">
      <alignment horizontal="right" wrapText="1"/>
      <protection locked="0"/>
    </xf>
    <xf numFmtId="3" fontId="0" fillId="6" borderId="81" xfId="0" applyNumberFormat="1" applyFill="1" applyBorder="1" applyAlignment="1" applyProtection="1">
      <alignment horizontal="right" wrapText="1"/>
      <protection locked="0"/>
    </xf>
    <xf numFmtId="3" fontId="105" fillId="0" borderId="2" xfId="0" applyNumberFormat="1" applyFont="1" applyBorder="1" applyProtection="1">
      <protection locked="0"/>
    </xf>
    <xf numFmtId="3" fontId="105" fillId="0" borderId="2" xfId="0" applyNumberFormat="1" applyFont="1" applyBorder="1" applyAlignment="1" applyProtection="1">
      <alignment horizontal="right" wrapText="1"/>
      <protection locked="0"/>
    </xf>
    <xf numFmtId="3" fontId="0" fillId="0" borderId="2" xfId="0" applyNumberFormat="1" applyBorder="1" applyAlignment="1" applyProtection="1">
      <alignment horizontal="right" wrapText="1"/>
      <protection locked="0"/>
    </xf>
    <xf numFmtId="3" fontId="105" fillId="0" borderId="81" xfId="0" applyNumberFormat="1" applyFont="1" applyBorder="1" applyAlignment="1" applyProtection="1">
      <alignment horizontal="right" wrapText="1"/>
      <protection locked="0"/>
    </xf>
    <xf numFmtId="3" fontId="105" fillId="0" borderId="43" xfId="0" applyNumberFormat="1" applyFont="1" applyBorder="1" applyProtection="1">
      <protection locked="0"/>
    </xf>
    <xf numFmtId="3" fontId="105" fillId="0" borderId="43" xfId="0" applyNumberFormat="1" applyFont="1" applyBorder="1" applyAlignment="1" applyProtection="1">
      <alignment horizontal="right" wrapText="1"/>
      <protection locked="0"/>
    </xf>
    <xf numFmtId="3" fontId="0" fillId="0" borderId="43" xfId="0" applyNumberFormat="1" applyBorder="1" applyAlignment="1" applyProtection="1">
      <alignment horizontal="right" wrapText="1"/>
      <protection locked="0"/>
    </xf>
    <xf numFmtId="3" fontId="105" fillId="0" borderId="82" xfId="0" applyNumberFormat="1" applyFont="1" applyBorder="1" applyAlignment="1" applyProtection="1">
      <alignment horizontal="right" wrapText="1"/>
      <protection locked="0"/>
    </xf>
    <xf numFmtId="168" fontId="45" fillId="5" borderId="2" xfId="0" applyNumberFormat="1" applyFont="1" applyFill="1" applyBorder="1" applyAlignment="1" applyProtection="1">
      <alignment horizontal="center" vertical="center"/>
      <protection locked="0"/>
    </xf>
    <xf numFmtId="168" fontId="99" fillId="5" borderId="2" xfId="0" applyNumberFormat="1" applyFont="1" applyFill="1" applyBorder="1" applyAlignment="1" applyProtection="1">
      <alignment horizontal="center" vertical="center"/>
      <protection locked="0"/>
    </xf>
    <xf numFmtId="168" fontId="2" fillId="5" borderId="2" xfId="0" applyNumberFormat="1" applyFont="1" applyFill="1" applyBorder="1" applyAlignment="1" applyProtection="1">
      <alignment horizontal="center" vertical="center"/>
      <protection locked="0"/>
    </xf>
    <xf numFmtId="3" fontId="45" fillId="5" borderId="19" xfId="0" applyNumberFormat="1" applyFont="1" applyFill="1" applyBorder="1" applyAlignment="1" applyProtection="1">
      <alignment horizontal="center" vertical="center"/>
      <protection locked="0"/>
    </xf>
    <xf numFmtId="168" fontId="51" fillId="5" borderId="2" xfId="0" applyNumberFormat="1" applyFont="1" applyFill="1" applyBorder="1" applyAlignment="1" applyProtection="1">
      <alignment horizontal="center" vertical="center"/>
      <protection locked="0"/>
    </xf>
    <xf numFmtId="3" fontId="51" fillId="5" borderId="19" xfId="0" applyNumberFormat="1" applyFont="1" applyFill="1" applyBorder="1" applyAlignment="1" applyProtection="1">
      <alignment horizontal="center" vertical="center"/>
      <protection locked="0"/>
    </xf>
    <xf numFmtId="168" fontId="99" fillId="20" borderId="2" xfId="0" applyNumberFormat="1" applyFont="1" applyFill="1" applyBorder="1" applyAlignment="1" applyProtection="1">
      <alignment horizontal="center" vertical="center"/>
      <protection locked="0"/>
    </xf>
    <xf numFmtId="168" fontId="45" fillId="20" borderId="2" xfId="0" applyNumberFormat="1" applyFont="1" applyFill="1" applyBorder="1" applyAlignment="1" applyProtection="1">
      <alignment horizontal="center" vertical="center"/>
      <protection locked="0"/>
    </xf>
    <xf numFmtId="3" fontId="45" fillId="7" borderId="19" xfId="0" applyNumberFormat="1" applyFont="1" applyFill="1" applyBorder="1" applyAlignment="1" applyProtection="1">
      <alignment horizontal="center" vertical="center"/>
      <protection locked="0"/>
    </xf>
    <xf numFmtId="168" fontId="51" fillId="20" borderId="2" xfId="0" applyNumberFormat="1" applyFont="1" applyFill="1" applyBorder="1" applyAlignment="1" applyProtection="1">
      <alignment horizontal="center" vertical="center"/>
      <protection locked="0"/>
    </xf>
    <xf numFmtId="3" fontId="51" fillId="7" borderId="19" xfId="0" applyNumberFormat="1" applyFont="1" applyFill="1" applyBorder="1" applyAlignment="1" applyProtection="1">
      <alignment horizontal="center" vertical="center"/>
      <protection locked="0"/>
    </xf>
    <xf numFmtId="10" fontId="45" fillId="21" borderId="2" xfId="19" applyNumberFormat="1" applyFont="1" applyFill="1" applyBorder="1" applyAlignment="1" applyProtection="1">
      <alignment horizontal="center" vertical="center"/>
      <protection locked="0"/>
    </xf>
    <xf numFmtId="10" fontId="45" fillId="5" borderId="19" xfId="19" applyNumberFormat="1" applyFont="1" applyFill="1" applyBorder="1" applyAlignment="1" applyProtection="1">
      <alignment horizontal="center" vertical="center"/>
      <protection locked="0"/>
    </xf>
    <xf numFmtId="10" fontId="51" fillId="21" borderId="2" xfId="19" applyNumberFormat="1" applyFont="1" applyFill="1" applyBorder="1" applyAlignment="1" applyProtection="1">
      <alignment horizontal="center" vertical="center"/>
      <protection locked="0"/>
    </xf>
    <xf numFmtId="10" fontId="51" fillId="5" borderId="19" xfId="19"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center" vertical="center"/>
      <protection locked="0"/>
    </xf>
    <xf numFmtId="3" fontId="45" fillId="12" borderId="2" xfId="0" applyNumberFormat="1" applyFont="1" applyFill="1" applyBorder="1" applyAlignment="1" applyProtection="1">
      <alignment horizontal="center" vertical="center"/>
      <protection locked="0"/>
    </xf>
    <xf numFmtId="1" fontId="45" fillId="12" borderId="2" xfId="0" applyNumberFormat="1" applyFont="1" applyFill="1" applyBorder="1" applyAlignment="1" applyProtection="1">
      <alignment horizontal="center" vertical="center"/>
      <protection locked="0"/>
    </xf>
    <xf numFmtId="3" fontId="45" fillId="12" borderId="19" xfId="0" applyNumberFormat="1" applyFont="1" applyFill="1" applyBorder="1" applyAlignment="1" applyProtection="1">
      <alignment horizontal="center" vertical="center"/>
      <protection locked="0"/>
    </xf>
    <xf numFmtId="10" fontId="45" fillId="12" borderId="2" xfId="0" applyNumberFormat="1" applyFont="1" applyFill="1" applyBorder="1" applyAlignment="1" applyProtection="1">
      <alignment horizontal="center" vertical="center"/>
      <protection locked="0"/>
    </xf>
    <xf numFmtId="168" fontId="45" fillId="12" borderId="2" xfId="0" applyNumberFormat="1" applyFont="1" applyFill="1" applyBorder="1" applyAlignment="1" applyProtection="1">
      <alignment horizontal="center" vertical="center"/>
      <protection locked="0"/>
    </xf>
    <xf numFmtId="168" fontId="51" fillId="12" borderId="2" xfId="0" applyNumberFormat="1" applyFont="1" applyFill="1" applyBorder="1" applyAlignment="1" applyProtection="1">
      <alignment horizontal="center" vertical="center"/>
      <protection locked="0"/>
    </xf>
    <xf numFmtId="3" fontId="51" fillId="12" borderId="19"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right" vertical="center"/>
      <protection locked="0"/>
    </xf>
    <xf numFmtId="3" fontId="45" fillId="7" borderId="19" xfId="0" applyNumberFormat="1" applyFont="1" applyFill="1" applyBorder="1" applyAlignment="1" applyProtection="1">
      <alignment horizontal="right" vertical="center"/>
      <protection locked="0"/>
    </xf>
    <xf numFmtId="168" fontId="51" fillId="7" borderId="2" xfId="0" applyNumberFormat="1" applyFont="1" applyFill="1" applyBorder="1" applyAlignment="1" applyProtection="1">
      <alignment horizontal="right" vertical="center"/>
      <protection locked="0"/>
    </xf>
    <xf numFmtId="3" fontId="51" fillId="7" borderId="19"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vertical="center"/>
      <protection locked="0"/>
    </xf>
    <xf numFmtId="3" fontId="45" fillId="12" borderId="19"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vertical="center"/>
      <protection locked="0"/>
    </xf>
    <xf numFmtId="3" fontId="51" fillId="12" borderId="19" xfId="0" applyNumberFormat="1" applyFont="1" applyFill="1" applyBorder="1" applyAlignment="1" applyProtection="1">
      <alignment vertical="center"/>
      <protection locked="0"/>
    </xf>
    <xf numFmtId="164" fontId="0" fillId="0" borderId="0" xfId="0" quotePrefix="1" applyNumberFormat="1"/>
    <xf numFmtId="164" fontId="9" fillId="0" borderId="0" xfId="13" applyFont="1" applyAlignment="1">
      <alignment vertical="center"/>
    </xf>
    <xf numFmtId="170" fontId="23" fillId="5" borderId="0" xfId="0" applyFont="1" applyFill="1" applyAlignment="1">
      <alignment horizontal="left"/>
    </xf>
    <xf numFmtId="170" fontId="105" fillId="0" borderId="0" xfId="0" applyFont="1" applyAlignment="1">
      <alignment horizontal="left"/>
    </xf>
    <xf numFmtId="22" fontId="0" fillId="0" borderId="0" xfId="0" applyNumberFormat="1"/>
    <xf numFmtId="2" fontId="103" fillId="0" borderId="0" xfId="20" applyNumberFormat="1" applyFill="1" applyBorder="1" applyAlignment="1" applyProtection="1">
      <alignment horizontal="center"/>
    </xf>
    <xf numFmtId="1" fontId="14" fillId="0" borderId="0" xfId="0" applyNumberFormat="1" applyFont="1" applyAlignment="1">
      <alignment horizontal="center"/>
    </xf>
    <xf numFmtId="1" fontId="54" fillId="3" borderId="0" xfId="0" applyNumberFormat="1" applyFont="1" applyFill="1" applyAlignment="1">
      <alignment horizontal="center"/>
    </xf>
    <xf numFmtId="170" fontId="121" fillId="0" borderId="0" xfId="0" applyFont="1"/>
    <xf numFmtId="170" fontId="55" fillId="0" borderId="0" xfId="0" applyFont="1"/>
    <xf numFmtId="170" fontId="21" fillId="0" borderId="0" xfId="0" applyFont="1" applyAlignment="1">
      <alignment vertical="center" wrapText="1"/>
    </xf>
    <xf numFmtId="170" fontId="0" fillId="3" borderId="0" xfId="0" applyFill="1" applyAlignment="1">
      <alignment horizontal="center"/>
    </xf>
    <xf numFmtId="170" fontId="122" fillId="0" borderId="0" xfId="0" applyFont="1"/>
    <xf numFmtId="170" fontId="124" fillId="5" borderId="0" xfId="0" applyFont="1" applyFill="1" applyAlignment="1">
      <alignment horizontal="left"/>
    </xf>
    <xf numFmtId="170" fontId="120" fillId="0" borderId="0" xfId="0" applyFont="1"/>
    <xf numFmtId="170" fontId="122" fillId="0" borderId="0" xfId="0" applyFont="1" applyAlignment="1">
      <alignment horizontal="left" wrapText="1"/>
    </xf>
    <xf numFmtId="170" fontId="27" fillId="0" borderId="0" xfId="0" applyFont="1" applyAlignment="1">
      <alignment horizontal="left"/>
    </xf>
    <xf numFmtId="170" fontId="133" fillId="0" borderId="0" xfId="0" applyFont="1" applyAlignment="1">
      <alignment horizontal="center" vertical="center"/>
    </xf>
    <xf numFmtId="171" fontId="21" fillId="0" borderId="0" xfId="0" applyNumberFormat="1" applyFont="1"/>
    <xf numFmtId="170" fontId="6" fillId="0" borderId="0" xfId="0" applyFont="1"/>
    <xf numFmtId="170" fontId="134" fillId="0" borderId="0" xfId="0" applyFont="1" applyAlignment="1">
      <alignment horizontal="center" vertical="center"/>
    </xf>
    <xf numFmtId="170" fontId="136" fillId="0" borderId="0" xfId="0" applyFont="1"/>
    <xf numFmtId="170" fontId="137" fillId="0" borderId="0" xfId="0" applyFont="1" applyAlignment="1">
      <alignment horizontal="center"/>
    </xf>
    <xf numFmtId="170" fontId="137" fillId="0" borderId="0" xfId="0" applyFont="1"/>
    <xf numFmtId="170" fontId="139" fillId="0" borderId="0" xfId="0" applyFont="1"/>
    <xf numFmtId="170" fontId="27" fillId="5" borderId="0" xfId="0" applyFont="1" applyFill="1" applyAlignment="1">
      <alignment horizontal="right" vertical="top" wrapText="1"/>
    </xf>
    <xf numFmtId="170" fontId="23" fillId="5" borderId="0" xfId="0" applyFont="1" applyFill="1" applyAlignment="1">
      <alignment horizontal="right" vertical="top" wrapText="1"/>
    </xf>
    <xf numFmtId="170" fontId="140" fillId="0" borderId="0" xfId="0" applyFont="1"/>
    <xf numFmtId="170" fontId="141" fillId="0" borderId="0" xfId="0" applyFont="1"/>
    <xf numFmtId="2" fontId="133" fillId="0" borderId="0" xfId="0" applyNumberFormat="1" applyFont="1" applyAlignment="1">
      <alignment horizontal="center" vertical="center"/>
    </xf>
    <xf numFmtId="164" fontId="140" fillId="0" borderId="0" xfId="0" applyNumberFormat="1" applyFont="1"/>
    <xf numFmtId="170" fontId="138" fillId="0" borderId="0" xfId="0" applyFont="1"/>
    <xf numFmtId="170" fontId="145" fillId="0" borderId="2" xfId="0" applyFont="1" applyBorder="1" applyAlignment="1" applyProtection="1">
      <alignment vertical="center" wrapText="1"/>
      <protection locked="0"/>
    </xf>
    <xf numFmtId="170" fontId="146" fillId="0" borderId="2" xfId="0" applyFont="1" applyBorder="1" applyAlignment="1" applyProtection="1">
      <alignment vertical="center" wrapText="1"/>
      <protection locked="0"/>
    </xf>
    <xf numFmtId="170" fontId="146" fillId="18" borderId="2" xfId="0" applyFont="1" applyFill="1" applyBorder="1" applyAlignment="1" applyProtection="1">
      <alignment vertical="center" wrapText="1"/>
      <protection locked="0"/>
    </xf>
    <xf numFmtId="170" fontId="146" fillId="18" borderId="26" xfId="0" applyFont="1" applyFill="1" applyBorder="1" applyAlignment="1" applyProtection="1">
      <alignment vertical="center" wrapText="1"/>
      <protection locked="0"/>
    </xf>
    <xf numFmtId="170" fontId="147" fillId="0" borderId="2" xfId="0" applyFont="1" applyBorder="1"/>
    <xf numFmtId="4" fontId="14" fillId="9" borderId="2" xfId="1" quotePrefix="1" applyNumberFormat="1" applyFont="1" applyFill="1" applyBorder="1" applyProtection="1">
      <protection locked="0"/>
    </xf>
    <xf numFmtId="4" fontId="14" fillId="9" borderId="103" xfId="1" applyNumberFormat="1" applyFont="1" applyFill="1" applyBorder="1" applyAlignment="1" applyProtection="1">
      <protection locked="0"/>
    </xf>
    <xf numFmtId="177" fontId="2" fillId="12" borderId="2" xfId="0" applyNumberFormat="1" applyFont="1" applyFill="1" applyBorder="1" applyAlignment="1" applyProtection="1">
      <alignment horizontal="center" vertical="center"/>
      <protection locked="0"/>
    </xf>
    <xf numFmtId="10" fontId="21" fillId="0" borderId="2" xfId="0" applyNumberFormat="1" applyFont="1" applyBorder="1" applyAlignment="1">
      <alignment horizontal="center" vertical="center" wrapText="1"/>
    </xf>
    <xf numFmtId="2" fontId="21" fillId="0" borderId="2" xfId="19" applyNumberFormat="1" applyFont="1" applyBorder="1" applyAlignment="1" applyProtection="1">
      <alignment horizontal="center" vertical="center" wrapText="1"/>
    </xf>
    <xf numFmtId="168" fontId="2" fillId="20" borderId="2" xfId="0" applyNumberFormat="1" applyFont="1" applyFill="1" applyBorder="1" applyAlignment="1" applyProtection="1">
      <alignment horizontal="center" vertical="center"/>
      <protection locked="0"/>
    </xf>
    <xf numFmtId="3" fontId="21" fillId="0" borderId="2" xfId="0" applyNumberFormat="1" applyFont="1" applyBorder="1" applyAlignment="1">
      <alignment horizontal="center" vertical="center" wrapText="1"/>
    </xf>
    <xf numFmtId="10" fontId="99" fillId="7" borderId="2" xfId="0" applyNumberFormat="1" applyFont="1" applyFill="1" applyBorder="1" applyAlignment="1" applyProtection="1">
      <alignment horizontal="center" vertical="center"/>
      <protection locked="0"/>
    </xf>
    <xf numFmtId="2" fontId="45" fillId="5" borderId="2" xfId="19" applyNumberFormat="1" applyFont="1" applyFill="1" applyBorder="1" applyAlignment="1" applyProtection="1">
      <alignment horizontal="center" vertical="center"/>
      <protection locked="0"/>
    </xf>
    <xf numFmtId="2" fontId="45" fillId="20" borderId="2" xfId="0" applyNumberFormat="1" applyFont="1" applyFill="1" applyBorder="1" applyAlignment="1" applyProtection="1">
      <alignment horizontal="center" vertical="center"/>
      <protection locked="0"/>
    </xf>
    <xf numFmtId="170" fontId="99" fillId="29" borderId="2" xfId="0" applyFont="1" applyFill="1" applyBorder="1" applyAlignment="1">
      <alignment horizontal="center"/>
    </xf>
    <xf numFmtId="168" fontId="45" fillId="29" borderId="2" xfId="0" applyNumberFormat="1" applyFont="1" applyFill="1" applyBorder="1" applyAlignment="1" applyProtection="1">
      <alignment horizontal="center" vertical="center"/>
      <protection locked="0"/>
    </xf>
    <xf numFmtId="170" fontId="45" fillId="30" borderId="2" xfId="0" applyFont="1" applyFill="1" applyBorder="1" applyAlignment="1">
      <alignment horizontal="center"/>
    </xf>
    <xf numFmtId="3" fontId="45" fillId="31" borderId="2" xfId="0" applyNumberFormat="1" applyFont="1" applyFill="1" applyBorder="1" applyAlignment="1" applyProtection="1">
      <alignment horizontal="center" vertical="center"/>
      <protection locked="0"/>
    </xf>
    <xf numFmtId="170" fontId="45" fillId="32" borderId="2" xfId="0" applyFont="1" applyFill="1" applyBorder="1" applyAlignment="1">
      <alignment horizontal="center"/>
    </xf>
    <xf numFmtId="170" fontId="99" fillId="32" borderId="2" xfId="0" applyFont="1" applyFill="1" applyBorder="1" applyAlignment="1">
      <alignment horizontal="center"/>
    </xf>
    <xf numFmtId="171" fontId="14" fillId="0" borderId="2" xfId="20" applyNumberFormat="1" applyFont="1" applyFill="1" applyBorder="1" applyAlignment="1" applyProtection="1">
      <alignment horizontal="center"/>
    </xf>
    <xf numFmtId="170" fontId="99" fillId="33" borderId="2" xfId="0" applyFont="1" applyFill="1" applyBorder="1" applyAlignment="1">
      <alignment horizontal="center"/>
    </xf>
    <xf numFmtId="10" fontId="51" fillId="33" borderId="2" xfId="19" applyNumberFormat="1" applyFont="1" applyFill="1" applyBorder="1" applyAlignment="1" applyProtection="1">
      <alignment horizontal="center" vertical="center"/>
      <protection locked="0"/>
    </xf>
    <xf numFmtId="2" fontId="51" fillId="33" borderId="2" xfId="0" applyNumberFormat="1" applyFont="1" applyFill="1" applyBorder="1" applyAlignment="1" applyProtection="1">
      <alignment horizontal="center" vertical="center"/>
      <protection locked="0"/>
    </xf>
    <xf numFmtId="170" fontId="99" fillId="34" borderId="2" xfId="0" applyFont="1" applyFill="1" applyBorder="1" applyAlignment="1">
      <alignment horizontal="center"/>
    </xf>
    <xf numFmtId="2" fontId="51" fillId="34" borderId="2" xfId="0" applyNumberFormat="1" applyFont="1" applyFill="1" applyBorder="1" applyAlignment="1" applyProtection="1">
      <alignment horizontal="center" vertical="center"/>
      <protection locked="0"/>
    </xf>
    <xf numFmtId="2" fontId="51" fillId="33" borderId="2" xfId="19" applyNumberFormat="1" applyFont="1" applyFill="1" applyBorder="1" applyAlignment="1" applyProtection="1">
      <alignment horizontal="center" vertical="center"/>
      <protection locked="0"/>
    </xf>
    <xf numFmtId="170" fontId="45" fillId="35" borderId="2" xfId="0" applyFont="1" applyFill="1" applyBorder="1" applyAlignment="1">
      <alignment horizontal="center"/>
    </xf>
    <xf numFmtId="10" fontId="51" fillId="36" borderId="2" xfId="0" applyNumberFormat="1" applyFont="1" applyFill="1" applyBorder="1" applyAlignment="1" applyProtection="1">
      <alignment horizontal="center" vertical="center"/>
      <protection locked="0"/>
    </xf>
    <xf numFmtId="170" fontId="99" fillId="37" borderId="2" xfId="0" applyFont="1" applyFill="1" applyBorder="1" applyAlignment="1">
      <alignment horizontal="center"/>
    </xf>
    <xf numFmtId="3" fontId="45" fillId="36" borderId="2" xfId="0" applyNumberFormat="1" applyFont="1" applyFill="1" applyBorder="1" applyAlignment="1" applyProtection="1">
      <alignment horizontal="center" vertical="center"/>
      <protection locked="0"/>
    </xf>
    <xf numFmtId="168" fontId="45" fillId="34" borderId="2" xfId="0" applyNumberFormat="1" applyFont="1" applyFill="1" applyBorder="1" applyAlignment="1" applyProtection="1">
      <alignment horizontal="center" vertical="center"/>
      <protection locked="0"/>
    </xf>
    <xf numFmtId="3" fontId="51" fillId="36" borderId="2" xfId="0" applyNumberFormat="1" applyFont="1" applyFill="1" applyBorder="1" applyAlignment="1" applyProtection="1">
      <alignment horizontal="center" vertical="center"/>
      <protection locked="0"/>
    </xf>
    <xf numFmtId="177" fontId="51" fillId="36" borderId="2" xfId="0" applyNumberFormat="1" applyFont="1" applyFill="1" applyBorder="1" applyAlignment="1" applyProtection="1">
      <alignment horizontal="center" vertical="center"/>
      <protection locked="0"/>
    </xf>
    <xf numFmtId="10" fontId="51" fillId="37" borderId="2" xfId="0" applyNumberFormat="1" applyFont="1" applyFill="1" applyBorder="1" applyAlignment="1" applyProtection="1">
      <alignment horizontal="center" vertical="center"/>
      <protection locked="0"/>
    </xf>
    <xf numFmtId="164" fontId="10" fillId="13" borderId="0" xfId="4" applyFont="1" applyFill="1" applyAlignment="1">
      <alignment horizontal="center" vertical="center"/>
    </xf>
    <xf numFmtId="164" fontId="26" fillId="0" borderId="0" xfId="0" applyNumberFormat="1" applyFont="1" applyAlignment="1">
      <alignment horizontal="center"/>
    </xf>
    <xf numFmtId="170" fontId="0" fillId="0" borderId="0" xfId="0"/>
    <xf numFmtId="170" fontId="97" fillId="0" borderId="0" xfId="0" applyFont="1" applyAlignment="1">
      <alignment horizontal="center"/>
    </xf>
    <xf numFmtId="170" fontId="98" fillId="0" borderId="0" xfId="0" applyFont="1" applyAlignment="1">
      <alignment horizontal="center"/>
    </xf>
    <xf numFmtId="170" fontId="26" fillId="25" borderId="125" xfId="0" applyFont="1" applyFill="1" applyBorder="1" applyAlignment="1">
      <alignment horizontal="center" vertical="center" textRotation="90"/>
    </xf>
    <xf numFmtId="0" fontId="45" fillId="28" borderId="224" xfId="0" applyNumberFormat="1" applyFont="1" applyFill="1" applyBorder="1" applyAlignment="1">
      <alignment horizontal="center" vertical="center" wrapText="1"/>
    </xf>
    <xf numFmtId="0" fontId="45" fillId="28" borderId="223" xfId="0" applyNumberFormat="1" applyFont="1" applyFill="1" applyBorder="1" applyAlignment="1">
      <alignment horizontal="center" vertical="center" wrapText="1"/>
    </xf>
    <xf numFmtId="0" fontId="45" fillId="28" borderId="86" xfId="0" applyNumberFormat="1" applyFont="1" applyFill="1" applyBorder="1" applyAlignment="1">
      <alignment horizontal="center" vertical="center" wrapText="1"/>
    </xf>
    <xf numFmtId="0" fontId="45" fillId="28" borderId="73" xfId="0" applyNumberFormat="1" applyFont="1" applyFill="1" applyBorder="1" applyAlignment="1">
      <alignment horizontal="center" vertical="center" wrapText="1"/>
    </xf>
    <xf numFmtId="170" fontId="45" fillId="26" borderId="2" xfId="0" applyFont="1" applyFill="1" applyBorder="1" applyAlignment="1">
      <alignment horizontal="left" vertical="center" wrapText="1"/>
    </xf>
    <xf numFmtId="170" fontId="45" fillId="26" borderId="224" xfId="0" applyFont="1" applyFill="1" applyBorder="1" applyAlignment="1">
      <alignment horizontal="center" vertical="center" wrapText="1"/>
    </xf>
    <xf numFmtId="170" fontId="45" fillId="26" borderId="223" xfId="0" applyFont="1" applyFill="1" applyBorder="1" applyAlignment="1">
      <alignment horizontal="center" vertical="center" wrapText="1"/>
    </xf>
    <xf numFmtId="170" fontId="45" fillId="26" borderId="86" xfId="0" applyFont="1" applyFill="1" applyBorder="1" applyAlignment="1">
      <alignment horizontal="center" vertical="center" wrapText="1"/>
    </xf>
    <xf numFmtId="170" fontId="45" fillId="26" borderId="73" xfId="0" applyFont="1" applyFill="1" applyBorder="1" applyAlignment="1">
      <alignment horizontal="center" vertical="center" wrapText="1"/>
    </xf>
    <xf numFmtId="0" fontId="45" fillId="27" borderId="2" xfId="0" applyNumberFormat="1" applyFont="1" applyFill="1" applyBorder="1" applyAlignment="1">
      <alignment vertical="center" wrapText="1"/>
    </xf>
    <xf numFmtId="9" fontId="26" fillId="0" borderId="111" xfId="19" applyFont="1" applyFill="1" applyBorder="1" applyAlignment="1" applyProtection="1">
      <alignment horizontal="center" vertical="center"/>
    </xf>
    <xf numFmtId="9" fontId="26" fillId="0" borderId="112" xfId="19" applyFont="1" applyFill="1" applyBorder="1" applyAlignment="1" applyProtection="1">
      <alignment horizontal="center" vertical="center"/>
    </xf>
    <xf numFmtId="9" fontId="26" fillId="0" borderId="113" xfId="19" applyFont="1" applyFill="1" applyBorder="1" applyAlignment="1" applyProtection="1">
      <alignment horizontal="center" vertical="center"/>
    </xf>
    <xf numFmtId="0" fontId="45" fillId="26" borderId="132" xfId="0" applyNumberFormat="1" applyFont="1" applyFill="1" applyBorder="1" applyAlignment="1">
      <alignment horizontal="center" vertical="center" wrapText="1"/>
    </xf>
    <xf numFmtId="0" fontId="45" fillId="26" borderId="76" xfId="0" applyNumberFormat="1" applyFont="1" applyFill="1" applyBorder="1" applyAlignment="1">
      <alignment horizontal="center" vertical="center" wrapText="1"/>
    </xf>
    <xf numFmtId="0" fontId="45" fillId="26" borderId="86" xfId="0" applyNumberFormat="1" applyFont="1" applyFill="1" applyBorder="1" applyAlignment="1">
      <alignment horizontal="center" vertical="center" wrapText="1"/>
    </xf>
    <xf numFmtId="0" fontId="45" fillId="26" borderId="73" xfId="0" applyNumberFormat="1" applyFont="1" applyFill="1" applyBorder="1" applyAlignment="1">
      <alignment horizontal="center" vertical="center" wrapText="1"/>
    </xf>
    <xf numFmtId="0" fontId="45" fillId="27" borderId="86" xfId="0" applyNumberFormat="1" applyFont="1" applyFill="1" applyBorder="1" applyAlignment="1">
      <alignment horizontal="center" vertical="center" wrapText="1"/>
    </xf>
    <xf numFmtId="0" fontId="45" fillId="27" borderId="73" xfId="0" applyNumberFormat="1" applyFont="1" applyFill="1" applyBorder="1" applyAlignment="1">
      <alignment horizontal="center" vertical="center" wrapText="1"/>
    </xf>
    <xf numFmtId="0" fontId="45" fillId="27" borderId="224" xfId="0" applyNumberFormat="1" applyFont="1" applyFill="1" applyBorder="1" applyAlignment="1">
      <alignment horizontal="center" vertical="center" wrapText="1"/>
    </xf>
    <xf numFmtId="0" fontId="45" fillId="27" borderId="223" xfId="0" applyNumberFormat="1" applyFont="1" applyFill="1" applyBorder="1" applyAlignment="1">
      <alignment horizontal="center" vertical="center" wrapText="1"/>
    </xf>
    <xf numFmtId="170" fontId="45" fillId="28" borderId="86" xfId="0" applyFont="1" applyFill="1" applyBorder="1" applyAlignment="1">
      <alignment horizontal="center" vertical="center" wrapText="1"/>
    </xf>
    <xf numFmtId="170" fontId="45" fillId="28" borderId="227" xfId="0" applyFont="1" applyFill="1" applyBorder="1" applyAlignment="1">
      <alignment horizontal="center" vertical="center" wrapText="1"/>
    </xf>
    <xf numFmtId="0" fontId="45" fillId="26" borderId="2" xfId="0" applyNumberFormat="1" applyFont="1" applyFill="1" applyBorder="1" applyAlignment="1">
      <alignment vertical="center" wrapText="1"/>
    </xf>
    <xf numFmtId="49" fontId="7" fillId="0" borderId="15" xfId="0" applyNumberFormat="1" applyFont="1" applyBorder="1" applyAlignment="1">
      <alignment horizontal="center"/>
    </xf>
    <xf numFmtId="49" fontId="7" fillId="0" borderId="30" xfId="0" applyNumberFormat="1" applyFont="1" applyBorder="1" applyAlignment="1">
      <alignment horizontal="center"/>
    </xf>
    <xf numFmtId="0" fontId="45" fillId="26" borderId="224" xfId="0" applyNumberFormat="1" applyFont="1" applyFill="1" applyBorder="1" applyAlignment="1">
      <alignment horizontal="center" vertical="center" wrapText="1"/>
    </xf>
    <xf numFmtId="0" fontId="45" fillId="26" borderId="223" xfId="0" applyNumberFormat="1" applyFont="1" applyFill="1" applyBorder="1" applyAlignment="1">
      <alignment horizontal="center" vertical="center" wrapText="1"/>
    </xf>
    <xf numFmtId="170" fontId="0" fillId="0" borderId="126" xfId="0" applyBorder="1" applyAlignment="1">
      <alignment horizontal="center"/>
    </xf>
    <xf numFmtId="170" fontId="0" fillId="0" borderId="12" xfId="0" applyBorder="1" applyAlignment="1">
      <alignment horizontal="center"/>
    </xf>
    <xf numFmtId="170" fontId="0" fillId="0" borderId="122" xfId="0" applyBorder="1" applyAlignment="1">
      <alignment horizontal="center" vertical="center"/>
    </xf>
    <xf numFmtId="170" fontId="0" fillId="0" borderId="123" xfId="0" applyBorder="1" applyAlignment="1">
      <alignment horizontal="center" vertical="center"/>
    </xf>
    <xf numFmtId="170" fontId="0" fillId="0" borderId="124" xfId="0" applyBorder="1" applyAlignment="1">
      <alignment horizontal="center" vertical="center"/>
    </xf>
    <xf numFmtId="170" fontId="85" fillId="0" borderId="85" xfId="0" applyFont="1" applyBorder="1" applyAlignment="1">
      <alignment horizontal="right"/>
    </xf>
    <xf numFmtId="170" fontId="85" fillId="0" borderId="125" xfId="0" applyFont="1" applyBorder="1" applyAlignment="1">
      <alignment horizontal="right"/>
    </xf>
    <xf numFmtId="49" fontId="45" fillId="0" borderId="131" xfId="0" applyNumberFormat="1" applyFont="1" applyBorder="1" applyAlignment="1">
      <alignment horizontal="justify" vertical="center" wrapText="1"/>
    </xf>
    <xf numFmtId="49" fontId="45" fillId="0" borderId="107" xfId="0" applyNumberFormat="1" applyFont="1" applyBorder="1" applyAlignment="1">
      <alignment horizontal="justify" vertical="center" wrapText="1"/>
    </xf>
    <xf numFmtId="49" fontId="45" fillId="0" borderId="132" xfId="0" applyNumberFormat="1" applyFont="1" applyBorder="1" applyAlignment="1">
      <alignment horizontal="justify" vertical="center" wrapText="1"/>
    </xf>
    <xf numFmtId="49" fontId="45" fillId="0" borderId="71" xfId="0" applyNumberFormat="1" applyFont="1" applyBorder="1" applyAlignment="1">
      <alignment horizontal="justify" vertical="center" wrapText="1"/>
    </xf>
    <xf numFmtId="49" fontId="45" fillId="0" borderId="72" xfId="0" applyNumberFormat="1" applyFont="1" applyBorder="1" applyAlignment="1">
      <alignment horizontal="justify" vertical="center" wrapText="1"/>
    </xf>
    <xf numFmtId="49" fontId="45" fillId="0" borderId="76" xfId="0" applyNumberFormat="1" applyFont="1" applyBorder="1" applyAlignment="1">
      <alignment horizontal="justify" vertical="center" wrapText="1"/>
    </xf>
    <xf numFmtId="0" fontId="45" fillId="10" borderId="118" xfId="0" applyNumberFormat="1" applyFont="1" applyFill="1" applyBorder="1" applyAlignment="1">
      <alignment horizontal="center" vertical="center" wrapText="1"/>
    </xf>
    <xf numFmtId="170" fontId="45" fillId="10" borderId="131" xfId="0" applyFont="1" applyFill="1" applyBorder="1" applyAlignment="1">
      <alignment horizontal="justify" vertical="center" wrapText="1"/>
    </xf>
    <xf numFmtId="170" fontId="45" fillId="10" borderId="107" xfId="0" applyFont="1" applyFill="1" applyBorder="1" applyAlignment="1">
      <alignment horizontal="justify" vertical="center" wrapText="1"/>
    </xf>
    <xf numFmtId="170" fontId="45" fillId="10" borderId="132" xfId="0" applyFont="1" applyFill="1" applyBorder="1" applyAlignment="1">
      <alignment horizontal="justify" vertical="center" wrapText="1"/>
    </xf>
    <xf numFmtId="170" fontId="45" fillId="10" borderId="71" xfId="0" applyFont="1" applyFill="1" applyBorder="1" applyAlignment="1">
      <alignment horizontal="justify" vertical="center" wrapText="1"/>
    </xf>
    <xf numFmtId="170" fontId="45" fillId="10" borderId="72" xfId="0" applyFont="1" applyFill="1" applyBorder="1" applyAlignment="1">
      <alignment horizontal="justify" vertical="center" wrapText="1"/>
    </xf>
    <xf numFmtId="170" fontId="45" fillId="10" borderId="76" xfId="0" applyFont="1" applyFill="1" applyBorder="1" applyAlignment="1">
      <alignment horizontal="justify" vertical="center" wrapText="1"/>
    </xf>
    <xf numFmtId="170" fontId="45" fillId="26" borderId="2" xfId="0" applyFont="1" applyFill="1" applyBorder="1" applyAlignment="1">
      <alignment vertical="center" wrapText="1"/>
    </xf>
    <xf numFmtId="0" fontId="45" fillId="27" borderId="2" xfId="0" applyNumberFormat="1" applyFont="1" applyFill="1" applyBorder="1" applyAlignment="1">
      <alignment horizontal="left" vertical="center" wrapText="1"/>
    </xf>
    <xf numFmtId="170" fontId="45" fillId="28" borderId="224" xfId="0" applyFont="1" applyFill="1" applyBorder="1" applyAlignment="1">
      <alignment horizontal="center" vertical="center" wrapText="1"/>
    </xf>
    <xf numFmtId="170" fontId="45" fillId="28" borderId="225" xfId="0" applyFont="1" applyFill="1" applyBorder="1" applyAlignment="1">
      <alignment horizontal="center" vertical="center" wrapText="1"/>
    </xf>
    <xf numFmtId="170" fontId="105" fillId="0" borderId="107" xfId="0" applyFont="1" applyBorder="1" applyAlignment="1">
      <alignment horizontal="justify" vertical="center" wrapText="1"/>
    </xf>
    <xf numFmtId="170" fontId="105" fillId="0" borderId="132" xfId="0" applyFont="1" applyBorder="1" applyAlignment="1">
      <alignment horizontal="justify" vertical="center" wrapText="1"/>
    </xf>
    <xf numFmtId="170" fontId="105" fillId="0" borderId="71" xfId="0" applyFont="1" applyBorder="1" applyAlignment="1">
      <alignment horizontal="justify" vertical="center" wrapText="1"/>
    </xf>
    <xf numFmtId="170" fontId="105" fillId="0" borderId="72" xfId="0" applyFont="1" applyBorder="1" applyAlignment="1">
      <alignment horizontal="justify" vertical="center" wrapText="1"/>
    </xf>
    <xf numFmtId="170" fontId="105" fillId="0" borderId="76" xfId="0" applyFont="1" applyBorder="1" applyAlignment="1">
      <alignment horizontal="justify" vertical="center" wrapText="1"/>
    </xf>
    <xf numFmtId="170" fontId="45" fillId="0" borderId="114" xfId="0" applyFont="1" applyBorder="1" applyAlignment="1">
      <alignment horizontal="center" vertical="center" wrapText="1"/>
    </xf>
    <xf numFmtId="170" fontId="45" fillId="0" borderId="218" xfId="0" applyFont="1" applyBorder="1" applyAlignment="1">
      <alignment horizontal="center" vertical="center" wrapText="1"/>
    </xf>
    <xf numFmtId="0" fontId="45" fillId="0" borderId="86" xfId="0" applyNumberFormat="1" applyFont="1" applyBorder="1" applyAlignment="1">
      <alignment horizontal="center" vertical="center" wrapText="1"/>
    </xf>
    <xf numFmtId="0" fontId="45" fillId="0" borderId="219" xfId="0" applyNumberFormat="1" applyFont="1" applyBorder="1" applyAlignment="1">
      <alignment horizontal="center" vertical="center" wrapText="1"/>
    </xf>
    <xf numFmtId="170" fontId="45" fillId="26" borderId="226" xfId="0" applyFont="1" applyFill="1" applyBorder="1" applyAlignment="1">
      <alignment horizontal="center" vertical="center" wrapText="1"/>
    </xf>
    <xf numFmtId="170" fontId="45" fillId="26" borderId="222" xfId="0" applyFont="1" applyFill="1" applyBorder="1" applyAlignment="1">
      <alignment horizontal="center" vertical="center" wrapText="1"/>
    </xf>
    <xf numFmtId="170" fontId="45" fillId="10" borderId="28" xfId="0" applyFont="1" applyFill="1" applyBorder="1" applyAlignment="1">
      <alignment horizontal="center" vertical="center" wrapText="1"/>
    </xf>
    <xf numFmtId="170" fontId="45" fillId="0" borderId="28" xfId="0" applyFont="1" applyBorder="1" applyAlignment="1">
      <alignment horizontal="center" vertical="center" wrapText="1"/>
    </xf>
    <xf numFmtId="0" fontId="45" fillId="0" borderId="118" xfId="0" applyNumberFormat="1" applyFont="1" applyBorder="1" applyAlignment="1">
      <alignment horizontal="center" vertical="center" wrapText="1"/>
    </xf>
    <xf numFmtId="170" fontId="56" fillId="0" borderId="127" xfId="0" applyFont="1" applyBorder="1" applyAlignment="1">
      <alignment horizontal="right"/>
    </xf>
    <xf numFmtId="170" fontId="92" fillId="0" borderId="127" xfId="0" applyFont="1" applyBorder="1"/>
    <xf numFmtId="170" fontId="85" fillId="0" borderId="0" xfId="0" applyFont="1" applyAlignment="1">
      <alignment horizontal="right"/>
    </xf>
    <xf numFmtId="164" fontId="7" fillId="0" borderId="128" xfId="0" applyNumberFormat="1" applyFont="1" applyBorder="1" applyAlignment="1">
      <alignment horizontal="center"/>
    </xf>
    <xf numFmtId="170" fontId="7" fillId="0" borderId="129" xfId="0" applyFont="1" applyBorder="1" applyAlignment="1">
      <alignment horizontal="center"/>
    </xf>
    <xf numFmtId="170" fontId="7" fillId="0" borderId="130" xfId="0" applyFont="1" applyBorder="1" applyAlignment="1">
      <alignment horizontal="center"/>
    </xf>
    <xf numFmtId="170" fontId="19" fillId="0" borderId="133" xfId="0" applyFont="1" applyBorder="1" applyAlignment="1">
      <alignment horizontal="center" wrapText="1"/>
    </xf>
    <xf numFmtId="170" fontId="19" fillId="0" borderId="134" xfId="0" applyFont="1" applyBorder="1" applyAlignment="1">
      <alignment horizontal="center" wrapText="1"/>
    </xf>
    <xf numFmtId="170" fontId="19" fillId="0" borderId="135" xfId="0" applyFont="1" applyBorder="1" applyAlignment="1">
      <alignment horizontal="center" wrapText="1"/>
    </xf>
    <xf numFmtId="170" fontId="0" fillId="5" borderId="26" xfId="0" applyFill="1" applyBorder="1" applyAlignment="1">
      <alignment horizontal="center"/>
    </xf>
    <xf numFmtId="170" fontId="0" fillId="5" borderId="28" xfId="0" applyFill="1" applyBorder="1" applyAlignment="1">
      <alignment horizontal="center"/>
    </xf>
    <xf numFmtId="49" fontId="0" fillId="0" borderId="2" xfId="0" applyNumberFormat="1" applyBorder="1" applyAlignment="1">
      <alignment horizontal="center"/>
    </xf>
    <xf numFmtId="164" fontId="42" fillId="14" borderId="0" xfId="4" applyFont="1" applyFill="1" applyAlignment="1">
      <alignment horizontal="center" vertical="center"/>
    </xf>
    <xf numFmtId="49" fontId="0" fillId="0" borderId="26" xfId="0" applyNumberFormat="1" applyBorder="1" applyAlignment="1">
      <alignment horizontal="center"/>
    </xf>
    <xf numFmtId="49" fontId="0" fillId="0" borderId="28" xfId="0" applyNumberFormat="1" applyBorder="1" applyAlignment="1">
      <alignment horizontal="center"/>
    </xf>
    <xf numFmtId="49" fontId="0" fillId="0" borderId="26" xfId="0" applyNumberFormat="1" applyBorder="1" applyAlignment="1">
      <alignment horizontal="justify" wrapText="1"/>
    </xf>
    <xf numFmtId="49" fontId="0" fillId="0" borderId="27" xfId="0" applyNumberFormat="1" applyBorder="1" applyAlignment="1">
      <alignment horizontal="justify" wrapText="1"/>
    </xf>
    <xf numFmtId="49" fontId="0" fillId="0" borderId="28" xfId="0" applyNumberFormat="1" applyBorder="1" applyAlignment="1">
      <alignment horizontal="justify" wrapText="1"/>
    </xf>
    <xf numFmtId="170" fontId="111" fillId="0" borderId="85" xfId="0" applyFont="1" applyBorder="1" applyAlignment="1">
      <alignment horizontal="right" wrapText="1"/>
    </xf>
    <xf numFmtId="170" fontId="111" fillId="0" borderId="125" xfId="0" applyFont="1" applyBorder="1" applyAlignment="1">
      <alignment horizontal="right" wrapText="1"/>
    </xf>
    <xf numFmtId="171" fontId="1" fillId="0" borderId="2" xfId="20" applyNumberFormat="1" applyFont="1" applyFill="1" applyBorder="1" applyAlignment="1" applyProtection="1">
      <alignment horizontal="center"/>
    </xf>
    <xf numFmtId="171" fontId="103" fillId="0" borderId="2" xfId="20" applyNumberFormat="1" applyFill="1" applyBorder="1" applyAlignment="1" applyProtection="1">
      <alignment horizontal="center"/>
    </xf>
    <xf numFmtId="172" fontId="105" fillId="0" borderId="26" xfId="0" applyNumberFormat="1" applyFont="1" applyBorder="1" applyAlignment="1">
      <alignment horizontal="center"/>
    </xf>
    <xf numFmtId="172" fontId="105" fillId="0" borderId="28" xfId="0" applyNumberFormat="1" applyFont="1" applyBorder="1" applyAlignment="1">
      <alignment horizontal="center"/>
    </xf>
    <xf numFmtId="49" fontId="108" fillId="0" borderId="2" xfId="0" applyNumberFormat="1" applyFont="1" applyBorder="1" applyAlignment="1">
      <alignment horizontal="center"/>
    </xf>
    <xf numFmtId="49" fontId="0" fillId="0" borderId="27" xfId="0" applyNumberFormat="1" applyBorder="1" applyAlignment="1">
      <alignment horizontal="center"/>
    </xf>
    <xf numFmtId="164" fontId="8" fillId="16" borderId="2" xfId="20" applyFont="1" applyFill="1" applyBorder="1" applyAlignment="1" applyProtection="1">
      <alignment horizontal="center"/>
    </xf>
    <xf numFmtId="49" fontId="7" fillId="0" borderId="14" xfId="0" applyNumberFormat="1" applyFont="1" applyBorder="1" applyAlignment="1">
      <alignment horizontal="center"/>
    </xf>
    <xf numFmtId="49" fontId="7" fillId="0" borderId="2" xfId="0" applyNumberFormat="1" applyFont="1" applyBorder="1" applyAlignment="1">
      <alignment horizontal="center"/>
    </xf>
    <xf numFmtId="170" fontId="51" fillId="0" borderId="119" xfId="0" applyFont="1" applyBorder="1" applyAlignment="1">
      <alignment horizontal="center" vertical="center"/>
    </xf>
    <xf numFmtId="170" fontId="51" fillId="0" borderId="120" xfId="0" applyFont="1" applyBorder="1" applyAlignment="1">
      <alignment horizontal="center" vertical="center"/>
    </xf>
    <xf numFmtId="170" fontId="51" fillId="0" borderId="121" xfId="0" applyFont="1" applyBorder="1" applyAlignment="1">
      <alignment horizontal="center" vertical="center"/>
    </xf>
    <xf numFmtId="164" fontId="17" fillId="6" borderId="24" xfId="20" applyFont="1" applyFill="1" applyBorder="1" applyAlignment="1" applyProtection="1">
      <alignment horizontal="center"/>
    </xf>
    <xf numFmtId="164" fontId="1" fillId="0" borderId="24" xfId="20" applyFont="1" applyFill="1" applyBorder="1" applyAlignment="1" applyProtection="1">
      <alignment horizontal="right"/>
    </xf>
    <xf numFmtId="164" fontId="87" fillId="13" borderId="24" xfId="20" applyFont="1" applyFill="1" applyBorder="1" applyAlignment="1" applyProtection="1">
      <alignment horizontal="center"/>
    </xf>
    <xf numFmtId="164" fontId="1" fillId="0" borderId="24" xfId="20" applyFont="1" applyFill="1" applyBorder="1" applyAlignment="1" applyProtection="1">
      <alignment horizontal="right" wrapText="1"/>
    </xf>
    <xf numFmtId="171" fontId="17" fillId="6" borderId="24" xfId="20" applyNumberFormat="1" applyFont="1" applyFill="1" applyBorder="1" applyAlignment="1" applyProtection="1">
      <alignment horizontal="center"/>
    </xf>
    <xf numFmtId="171" fontId="0" fillId="0" borderId="24" xfId="0" applyNumberFormat="1" applyBorder="1"/>
    <xf numFmtId="164" fontId="109" fillId="14" borderId="0" xfId="4" applyFont="1" applyFill="1" applyAlignment="1">
      <alignment horizontal="center" vertical="center"/>
    </xf>
    <xf numFmtId="164" fontId="26" fillId="6" borderId="0" xfId="15" applyFont="1" applyFill="1" applyAlignment="1">
      <alignment horizontal="center" vertical="center" wrapText="1"/>
    </xf>
    <xf numFmtId="173" fontId="17" fillId="6" borderId="24" xfId="20" applyNumberFormat="1" applyFont="1" applyFill="1" applyBorder="1" applyAlignment="1" applyProtection="1">
      <alignment horizontal="center" vertical="center"/>
    </xf>
    <xf numFmtId="164" fontId="1" fillId="0" borderId="24" xfId="20" applyFont="1" applyBorder="1" applyAlignment="1" applyProtection="1">
      <alignment horizontal="right"/>
    </xf>
    <xf numFmtId="164" fontId="13" fillId="0" borderId="0" xfId="15" applyFont="1" applyAlignment="1">
      <alignment horizontal="right" vertical="center"/>
    </xf>
    <xf numFmtId="164" fontId="17" fillId="6" borderId="0" xfId="15" applyFont="1" applyFill="1" applyAlignment="1">
      <alignment horizontal="center" vertical="center" wrapText="1"/>
    </xf>
    <xf numFmtId="164" fontId="42" fillId="14" borderId="0" xfId="13" applyFont="1" applyFill="1" applyAlignment="1">
      <alignment horizontal="center" vertical="center"/>
    </xf>
    <xf numFmtId="164" fontId="8" fillId="13" borderId="0" xfId="20" applyFont="1" applyFill="1" applyBorder="1" applyAlignment="1" applyProtection="1">
      <alignment horizontal="center"/>
    </xf>
    <xf numFmtId="170" fontId="82" fillId="0" borderId="0" xfId="0" applyFont="1" applyAlignment="1">
      <alignment horizontal="center"/>
    </xf>
    <xf numFmtId="164" fontId="7" fillId="0" borderId="0" xfId="0" applyNumberFormat="1"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64" fontId="28" fillId="0" borderId="0" xfId="0" applyNumberFormat="1" applyFont="1" applyAlignment="1">
      <alignment wrapText="1"/>
    </xf>
    <xf numFmtId="170" fontId="0" fillId="0" borderId="0" xfId="0" applyAlignment="1">
      <alignment wrapText="1"/>
    </xf>
    <xf numFmtId="170" fontId="23" fillId="5" borderId="26" xfId="0" applyFont="1" applyFill="1" applyBorder="1" applyAlignment="1" applyProtection="1">
      <alignment horizontal="justify" vertical="center" wrapText="1"/>
      <protection locked="0"/>
    </xf>
    <xf numFmtId="170" fontId="105" fillId="0" borderId="27" xfId="0" applyFont="1" applyBorder="1" applyAlignment="1" applyProtection="1">
      <alignment horizontal="justify" vertical="center" wrapText="1"/>
      <protection locked="0"/>
    </xf>
    <xf numFmtId="170" fontId="105" fillId="0" borderId="28" xfId="0" applyFont="1" applyBorder="1" applyAlignment="1" applyProtection="1">
      <alignment horizontal="justify" vertical="center" wrapText="1"/>
      <protection locked="0"/>
    </xf>
    <xf numFmtId="164" fontId="7" fillId="0" borderId="0" xfId="0" applyNumberFormat="1" applyFont="1" applyAlignment="1">
      <alignment horizontal="center" wrapText="1"/>
    </xf>
    <xf numFmtId="170" fontId="0" fillId="0" borderId="0" xfId="0" applyAlignment="1">
      <alignment horizontal="center"/>
    </xf>
    <xf numFmtId="170" fontId="23" fillId="5" borderId="27" xfId="0" applyFont="1" applyFill="1" applyBorder="1" applyAlignment="1" applyProtection="1">
      <alignment horizontal="justify" vertical="center" wrapText="1"/>
      <protection locked="0"/>
    </xf>
    <xf numFmtId="170" fontId="23" fillId="5" borderId="28" xfId="0" applyFont="1" applyFill="1" applyBorder="1" applyAlignment="1" applyProtection="1">
      <alignment horizontal="justify" vertical="center" wrapText="1"/>
      <protection locked="0"/>
    </xf>
    <xf numFmtId="170" fontId="7" fillId="0" borderId="0" xfId="0" applyFont="1" applyAlignment="1">
      <alignment horizontal="center"/>
    </xf>
    <xf numFmtId="170" fontId="57" fillId="0" borderId="0" xfId="0" applyFont="1" applyAlignment="1">
      <alignment horizontal="left" wrapText="1"/>
    </xf>
    <xf numFmtId="170" fontId="143" fillId="0" borderId="122" xfId="0" applyFont="1" applyBorder="1" applyAlignment="1">
      <alignment horizontal="center" vertical="center"/>
    </xf>
    <xf numFmtId="170" fontId="143" fillId="0" borderId="123" xfId="0" applyFont="1" applyBorder="1" applyAlignment="1">
      <alignment horizontal="center" vertical="center"/>
    </xf>
    <xf numFmtId="170" fontId="143" fillId="0" borderId="124" xfId="0" applyFont="1" applyBorder="1" applyAlignment="1">
      <alignment horizontal="center" vertical="center"/>
    </xf>
    <xf numFmtId="164" fontId="110" fillId="14" borderId="0" xfId="4" applyFont="1" applyFill="1" applyAlignment="1">
      <alignment horizontal="center" vertical="center"/>
    </xf>
    <xf numFmtId="170" fontId="0" fillId="0" borderId="136" xfId="0" applyBorder="1" applyAlignment="1">
      <alignment horizontal="center"/>
    </xf>
    <xf numFmtId="170" fontId="0" fillId="0" borderId="41" xfId="0" applyBorder="1" applyAlignment="1">
      <alignment horizontal="center"/>
    </xf>
    <xf numFmtId="170" fontId="88" fillId="0" borderId="137" xfId="0" applyFont="1" applyBorder="1" applyAlignment="1">
      <alignment horizontal="left" wrapText="1"/>
    </xf>
    <xf numFmtId="170" fontId="88" fillId="0" borderId="138" xfId="0" applyFont="1" applyBorder="1" applyAlignment="1">
      <alignment horizontal="left" wrapText="1"/>
    </xf>
    <xf numFmtId="164" fontId="30" fillId="0" borderId="0" xfId="0" applyNumberFormat="1" applyFont="1" applyAlignment="1">
      <alignment wrapText="1"/>
    </xf>
    <xf numFmtId="170" fontId="88" fillId="0" borderId="139" xfId="0" applyFont="1" applyBorder="1" applyAlignment="1">
      <alignment horizontal="left" wrapText="1"/>
    </xf>
    <xf numFmtId="170" fontId="88" fillId="0" borderId="67" xfId="0" applyFont="1" applyBorder="1" applyAlignment="1">
      <alignment horizontal="left" wrapText="1"/>
    </xf>
    <xf numFmtId="170" fontId="124" fillId="5" borderId="26" xfId="0" applyFont="1" applyFill="1" applyBorder="1" applyAlignment="1" applyProtection="1">
      <alignment horizontal="justify" vertical="center" wrapText="1"/>
      <protection locked="0"/>
    </xf>
    <xf numFmtId="170" fontId="124" fillId="5" borderId="27" xfId="0" applyFont="1" applyFill="1" applyBorder="1" applyAlignment="1" applyProtection="1">
      <alignment horizontal="justify" vertical="center" wrapText="1"/>
      <protection locked="0"/>
    </xf>
    <xf numFmtId="170" fontId="124" fillId="5" borderId="28" xfId="0" applyFont="1" applyFill="1" applyBorder="1" applyAlignment="1" applyProtection="1">
      <alignment horizontal="justify" vertical="center" wrapText="1"/>
      <protection locked="0"/>
    </xf>
    <xf numFmtId="164" fontId="81" fillId="0" borderId="115" xfId="0" applyNumberFormat="1" applyFont="1" applyBorder="1" applyAlignment="1">
      <alignment horizontal="center" vertical="center" wrapText="1"/>
    </xf>
    <xf numFmtId="164" fontId="81" fillId="0" borderId="116" xfId="0" applyNumberFormat="1" applyFont="1" applyBorder="1" applyAlignment="1">
      <alignment horizontal="center" vertical="center" wrapText="1"/>
    </xf>
    <xf numFmtId="164" fontId="81" fillId="0" borderId="117" xfId="0" applyNumberFormat="1" applyFont="1" applyBorder="1" applyAlignment="1">
      <alignment horizontal="center" vertical="center" wrapText="1"/>
    </xf>
    <xf numFmtId="170" fontId="122" fillId="0" borderId="27" xfId="0" applyFont="1" applyBorder="1" applyAlignment="1" applyProtection="1">
      <alignment horizontal="justify" vertical="center" wrapText="1"/>
      <protection locked="0"/>
    </xf>
    <xf numFmtId="170" fontId="122" fillId="0" borderId="28" xfId="0" applyFont="1" applyBorder="1" applyAlignment="1" applyProtection="1">
      <alignment horizontal="justify" vertical="center" wrapText="1"/>
      <protection locked="0"/>
    </xf>
    <xf numFmtId="170" fontId="128" fillId="5" borderId="26" xfId="0" applyFont="1" applyFill="1" applyBorder="1" applyAlignment="1" applyProtection="1">
      <alignment horizontal="justify" vertical="center" wrapText="1"/>
      <protection locked="0"/>
    </xf>
    <xf numFmtId="170" fontId="125" fillId="0" borderId="27" xfId="0" applyFont="1" applyBorder="1" applyAlignment="1" applyProtection="1">
      <alignment horizontal="justify" vertical="center" wrapText="1"/>
      <protection locked="0"/>
    </xf>
    <xf numFmtId="170" fontId="125" fillId="0" borderId="28" xfId="0" applyFont="1" applyBorder="1" applyAlignment="1" applyProtection="1">
      <alignment horizontal="justify" vertical="center" wrapText="1"/>
      <protection locked="0"/>
    </xf>
    <xf numFmtId="170" fontId="80" fillId="0" borderId="2" xfId="0" applyFont="1" applyBorder="1" applyAlignment="1">
      <alignment horizontal="justify" vertical="center" wrapText="1"/>
    </xf>
    <xf numFmtId="176" fontId="21" fillId="0" borderId="26" xfId="19" applyNumberFormat="1" applyFont="1" applyBorder="1" applyAlignment="1" applyProtection="1">
      <alignment horizontal="center" vertical="center" wrapText="1"/>
    </xf>
    <xf numFmtId="176" fontId="21" fillId="0" borderId="27" xfId="19" applyNumberFormat="1" applyFont="1" applyBorder="1" applyAlignment="1" applyProtection="1">
      <alignment horizontal="center" vertical="center" wrapText="1"/>
    </xf>
    <xf numFmtId="176" fontId="21" fillId="0" borderId="28" xfId="19" applyNumberFormat="1" applyFont="1" applyBorder="1" applyAlignment="1" applyProtection="1">
      <alignment horizontal="center" vertical="center" wrapText="1"/>
    </xf>
    <xf numFmtId="9" fontId="80" fillId="5" borderId="2" xfId="19" applyFont="1" applyFill="1" applyBorder="1" applyAlignment="1" applyProtection="1">
      <alignment horizontal="justify" vertical="center" wrapText="1"/>
      <protection locked="0"/>
    </xf>
    <xf numFmtId="9" fontId="126" fillId="5" borderId="2" xfId="19" applyFont="1" applyFill="1" applyBorder="1" applyAlignment="1" applyProtection="1">
      <alignment horizontal="justify" vertical="center" wrapText="1"/>
      <protection locked="0"/>
    </xf>
    <xf numFmtId="170" fontId="80" fillId="5" borderId="26" xfId="19" applyNumberFormat="1" applyFont="1" applyFill="1" applyBorder="1" applyAlignment="1" applyProtection="1">
      <alignment horizontal="justify" vertical="center" wrapText="1"/>
      <protection locked="0"/>
    </xf>
    <xf numFmtId="170" fontId="126" fillId="5" borderId="27" xfId="19" applyNumberFormat="1" applyFont="1" applyFill="1" applyBorder="1" applyAlignment="1" applyProtection="1">
      <alignment horizontal="justify" vertical="center" wrapText="1"/>
      <protection locked="0"/>
    </xf>
    <xf numFmtId="170" fontId="126" fillId="5" borderId="28" xfId="19" applyNumberFormat="1" applyFont="1" applyFill="1" applyBorder="1" applyAlignment="1" applyProtection="1">
      <alignment horizontal="justify" vertical="center" wrapText="1"/>
      <protection locked="0"/>
    </xf>
    <xf numFmtId="170" fontId="27" fillId="0" borderId="26" xfId="0" applyFont="1" applyBorder="1" applyAlignment="1">
      <alignment horizontal="center" vertical="center"/>
    </xf>
    <xf numFmtId="170" fontId="27" fillId="0" borderId="27" xfId="0" applyFont="1" applyBorder="1" applyAlignment="1">
      <alignment horizontal="center" vertical="center"/>
    </xf>
    <xf numFmtId="170" fontId="27" fillId="0" borderId="28" xfId="0" applyFont="1" applyBorder="1" applyAlignment="1">
      <alignment horizontal="center" vertical="center"/>
    </xf>
    <xf numFmtId="9" fontId="30" fillId="15" borderId="26" xfId="19" applyFont="1" applyFill="1" applyBorder="1" applyAlignment="1" applyProtection="1">
      <alignment horizontal="center" vertical="center" wrapText="1"/>
    </xf>
    <xf numFmtId="9" fontId="30" fillId="15" borderId="28" xfId="19" applyFont="1" applyFill="1" applyBorder="1" applyAlignment="1" applyProtection="1">
      <alignment horizontal="center" vertical="center" wrapText="1"/>
    </xf>
    <xf numFmtId="9" fontId="30" fillId="17" borderId="26" xfId="19" applyFont="1" applyFill="1" applyBorder="1" applyAlignment="1" applyProtection="1">
      <alignment horizontal="center" vertical="center" wrapText="1"/>
    </xf>
    <xf numFmtId="9" fontId="30" fillId="17" borderId="28" xfId="19" applyFont="1" applyFill="1" applyBorder="1" applyAlignment="1" applyProtection="1">
      <alignment horizontal="center" vertical="center" wrapText="1"/>
    </xf>
    <xf numFmtId="170" fontId="123" fillId="5" borderId="26" xfId="0" applyFont="1" applyFill="1" applyBorder="1" applyAlignment="1" applyProtection="1">
      <alignment horizontal="justify" vertical="top" wrapText="1"/>
      <protection locked="0"/>
    </xf>
    <xf numFmtId="170" fontId="123" fillId="5" borderId="27" xfId="0" applyFont="1" applyFill="1" applyBorder="1" applyAlignment="1" applyProtection="1">
      <alignment horizontal="justify" vertical="top" wrapText="1"/>
      <protection locked="0"/>
    </xf>
    <xf numFmtId="170" fontId="123" fillId="5" borderId="28" xfId="0" applyFont="1" applyFill="1" applyBorder="1" applyAlignment="1" applyProtection="1">
      <alignment horizontal="justify" vertical="top" wrapText="1"/>
      <protection locked="0"/>
    </xf>
    <xf numFmtId="164" fontId="21" fillId="0" borderId="0" xfId="0" applyNumberFormat="1" applyFont="1" applyAlignment="1">
      <alignment horizontal="right" wrapText="1"/>
    </xf>
    <xf numFmtId="174" fontId="83" fillId="0" borderId="27" xfId="0" applyNumberFormat="1" applyFont="1" applyBorder="1" applyAlignment="1">
      <alignment horizontal="justify" vertical="center" wrapText="1"/>
    </xf>
    <xf numFmtId="170" fontId="83" fillId="0" borderId="27" xfId="0" applyFont="1" applyBorder="1" applyAlignment="1">
      <alignment horizontal="justify" vertical="center" wrapText="1"/>
    </xf>
    <xf numFmtId="170" fontId="127" fillId="0" borderId="27" xfId="0" applyFont="1" applyBorder="1" applyAlignment="1" applyProtection="1">
      <alignment horizontal="justify" vertical="top" wrapText="1"/>
      <protection locked="0"/>
    </xf>
    <xf numFmtId="170" fontId="127" fillId="0" borderId="28" xfId="0" applyFont="1" applyBorder="1" applyAlignment="1" applyProtection="1">
      <alignment horizontal="justify" vertical="top" wrapText="1"/>
      <protection locked="0"/>
    </xf>
    <xf numFmtId="170" fontId="26" fillId="0" borderId="72" xfId="0" applyFont="1" applyBorder="1" applyAlignment="1">
      <alignment horizontal="center"/>
    </xf>
    <xf numFmtId="170" fontId="27" fillId="0" borderId="2" xfId="0" applyFont="1" applyBorder="1" applyAlignment="1">
      <alignment horizontal="center" vertical="center" wrapText="1"/>
    </xf>
    <xf numFmtId="170" fontId="23" fillId="5" borderId="26" xfId="19" applyNumberFormat="1" applyFont="1" applyFill="1" applyBorder="1" applyAlignment="1" applyProtection="1">
      <alignment horizontal="justify" vertical="center" wrapText="1"/>
      <protection locked="0"/>
    </xf>
    <xf numFmtId="170" fontId="142" fillId="5" borderId="27" xfId="19" applyNumberFormat="1" applyFont="1" applyFill="1" applyBorder="1" applyAlignment="1" applyProtection="1">
      <alignment horizontal="justify" vertical="center" wrapText="1"/>
      <protection locked="0"/>
    </xf>
    <xf numFmtId="170" fontId="142" fillId="5" borderId="28" xfId="19" applyNumberFormat="1" applyFont="1" applyFill="1" applyBorder="1" applyAlignment="1" applyProtection="1">
      <alignment horizontal="justify" vertical="center" wrapText="1"/>
      <protection locked="0"/>
    </xf>
    <xf numFmtId="164" fontId="82" fillId="0" borderId="0" xfId="0" applyNumberFormat="1" applyFont="1" applyAlignment="1">
      <alignment horizontal="center"/>
    </xf>
    <xf numFmtId="164" fontId="8" fillId="13" borderId="0" xfId="21" applyFont="1" applyFill="1" applyBorder="1" applyAlignment="1" applyProtection="1">
      <alignment horizontal="center"/>
    </xf>
    <xf numFmtId="170" fontId="115" fillId="0" borderId="158" xfId="0" applyFont="1" applyBorder="1" applyAlignment="1">
      <alignment horizontal="center"/>
    </xf>
    <xf numFmtId="170" fontId="115" fillId="0" borderId="159" xfId="0" applyFont="1" applyBorder="1" applyAlignment="1">
      <alignment horizontal="center"/>
    </xf>
    <xf numFmtId="170" fontId="52" fillId="0" borderId="0" xfId="0" applyFont="1" applyAlignment="1">
      <alignment horizontal="center"/>
    </xf>
    <xf numFmtId="170" fontId="52" fillId="0" borderId="158" xfId="0" applyFont="1" applyBorder="1" applyAlignment="1">
      <alignment horizontal="center"/>
    </xf>
    <xf numFmtId="170" fontId="41" fillId="9" borderId="146" xfId="0" applyFont="1" applyFill="1" applyBorder="1" applyAlignment="1">
      <alignment horizontal="center" vertical="center"/>
    </xf>
    <xf numFmtId="170" fontId="41" fillId="9" borderId="147" xfId="0" applyFont="1" applyFill="1" applyBorder="1" applyAlignment="1">
      <alignment horizontal="center" vertical="center"/>
    </xf>
    <xf numFmtId="170" fontId="41" fillId="9" borderId="148" xfId="0" applyFont="1" applyFill="1" applyBorder="1" applyAlignment="1">
      <alignment horizontal="center" vertical="center"/>
    </xf>
    <xf numFmtId="49" fontId="2" fillId="9" borderId="162" xfId="0" applyNumberFormat="1" applyFont="1" applyFill="1" applyBorder="1" applyAlignment="1" applyProtection="1">
      <alignment horizontal="center" vertical="center"/>
      <protection locked="0"/>
    </xf>
    <xf numFmtId="49" fontId="2" fillId="9" borderId="163" xfId="0" applyNumberFormat="1" applyFont="1" applyFill="1" applyBorder="1" applyAlignment="1" applyProtection="1">
      <alignment horizontal="center" vertical="center"/>
      <protection locked="0"/>
    </xf>
    <xf numFmtId="49" fontId="2" fillId="9" borderId="164" xfId="0" applyNumberFormat="1" applyFont="1" applyFill="1" applyBorder="1" applyAlignment="1" applyProtection="1">
      <alignment horizontal="center" vertical="center"/>
      <protection locked="0"/>
    </xf>
    <xf numFmtId="170" fontId="2" fillId="0" borderId="27" xfId="0" applyFont="1" applyBorder="1" applyAlignment="1">
      <alignment horizontal="justify" vertical="center" wrapText="1"/>
    </xf>
    <xf numFmtId="170" fontId="2" fillId="0" borderId="161" xfId="0" applyFont="1" applyBorder="1" applyAlignment="1">
      <alignment horizontal="justify" vertical="center" wrapText="1"/>
    </xf>
    <xf numFmtId="170" fontId="94" fillId="6" borderId="166" xfId="0" applyFont="1" applyFill="1" applyBorder="1" applyAlignment="1">
      <alignment horizontal="center" vertical="center"/>
    </xf>
    <xf numFmtId="170" fontId="94" fillId="6" borderId="167" xfId="0" applyFont="1" applyFill="1" applyBorder="1" applyAlignment="1">
      <alignment horizontal="center" vertical="center"/>
    </xf>
    <xf numFmtId="170" fontId="105" fillId="0" borderId="167" xfId="0" applyFont="1" applyBorder="1" applyAlignment="1">
      <alignment horizontal="center" vertical="center"/>
    </xf>
    <xf numFmtId="170" fontId="2" fillId="0" borderId="140" xfId="0" applyFont="1" applyBorder="1" applyAlignment="1">
      <alignment horizontal="justify" vertical="center" wrapText="1"/>
    </xf>
    <xf numFmtId="170" fontId="2" fillId="0" borderId="141" xfId="0" applyFont="1" applyBorder="1" applyAlignment="1">
      <alignment horizontal="justify" vertical="center" wrapText="1"/>
    </xf>
    <xf numFmtId="170" fontId="2" fillId="0" borderId="5" xfId="0" applyFont="1" applyBorder="1" applyAlignment="1">
      <alignment horizontal="justify" vertical="center" wrapText="1"/>
    </xf>
    <xf numFmtId="170" fontId="2" fillId="0" borderId="172" xfId="0" applyFont="1" applyBorder="1" applyAlignment="1">
      <alignment horizontal="justify" vertical="center" wrapText="1"/>
    </xf>
    <xf numFmtId="170" fontId="94" fillId="6" borderId="168" xfId="0" applyFont="1" applyFill="1" applyBorder="1" applyAlignment="1">
      <alignment horizontal="center" vertical="center"/>
    </xf>
    <xf numFmtId="170" fontId="94" fillId="6" borderId="169" xfId="0" applyFont="1" applyFill="1" applyBorder="1" applyAlignment="1">
      <alignment horizontal="center" vertical="center"/>
    </xf>
    <xf numFmtId="170" fontId="94" fillId="6" borderId="170" xfId="0" applyFont="1" applyFill="1" applyBorder="1" applyAlignment="1">
      <alignment horizontal="center" vertical="center"/>
    </xf>
    <xf numFmtId="170" fontId="115" fillId="0" borderId="0" xfId="0" applyFont="1" applyAlignment="1">
      <alignment horizontal="center"/>
    </xf>
    <xf numFmtId="170" fontId="2" fillId="0" borderId="144" xfId="0" applyFont="1" applyBorder="1" applyAlignment="1">
      <alignment horizontal="justify" vertical="center" wrapText="1"/>
    </xf>
    <xf numFmtId="170" fontId="2" fillId="0" borderId="145" xfId="0" applyFont="1" applyBorder="1" applyAlignment="1">
      <alignment horizontal="justify" vertical="center" wrapText="1"/>
    </xf>
    <xf numFmtId="170" fontId="53" fillId="2" borderId="3" xfId="0" applyFont="1" applyFill="1" applyBorder="1" applyAlignment="1">
      <alignment horizontal="center" vertical="center"/>
    </xf>
    <xf numFmtId="49" fontId="2" fillId="9" borderId="171" xfId="0" applyNumberFormat="1" applyFont="1" applyFill="1" applyBorder="1" applyAlignment="1" applyProtection="1">
      <alignment horizontal="center" vertical="center"/>
      <protection locked="0"/>
    </xf>
    <xf numFmtId="49" fontId="2" fillId="9" borderId="5" xfId="0" applyNumberFormat="1" applyFont="1" applyFill="1" applyBorder="1" applyAlignment="1" applyProtection="1">
      <alignment horizontal="center" vertical="center"/>
      <protection locked="0"/>
    </xf>
    <xf numFmtId="49" fontId="2" fillId="9" borderId="172" xfId="0" applyNumberFormat="1" applyFont="1" applyFill="1" applyBorder="1" applyAlignment="1" applyProtection="1">
      <alignment horizontal="center" vertical="center"/>
      <protection locked="0"/>
    </xf>
    <xf numFmtId="170" fontId="2" fillId="6" borderId="155" xfId="0" applyFont="1" applyFill="1" applyBorder="1" applyAlignment="1" applyProtection="1">
      <alignment horizontal="center" vertical="center" wrapText="1"/>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0" borderId="173" xfId="0" applyFont="1" applyBorder="1" applyAlignment="1">
      <alignment horizontal="justify" vertical="center" wrapText="1"/>
    </xf>
    <xf numFmtId="170" fontId="2" fillId="0" borderId="174" xfId="0" applyFont="1" applyBorder="1" applyAlignment="1">
      <alignment horizontal="justify" vertical="center" wrapText="1"/>
    </xf>
    <xf numFmtId="170" fontId="2" fillId="0" borderId="165" xfId="0" applyFont="1" applyBorder="1" applyAlignment="1">
      <alignment horizontal="justify" vertical="center" wrapText="1"/>
    </xf>
    <xf numFmtId="170" fontId="41" fillId="5" borderId="177" xfId="0" applyFont="1" applyFill="1" applyBorder="1" applyAlignment="1">
      <alignment horizontal="center" vertical="center"/>
    </xf>
    <xf numFmtId="170" fontId="41" fillId="5" borderId="178" xfId="0" applyFont="1" applyFill="1" applyBorder="1" applyAlignment="1">
      <alignment horizontal="center" vertical="center"/>
    </xf>
    <xf numFmtId="170" fontId="41" fillId="5" borderId="179" xfId="0" applyFont="1" applyFill="1" applyBorder="1" applyAlignment="1">
      <alignment horizontal="center" vertical="center"/>
    </xf>
    <xf numFmtId="170" fontId="2" fillId="6" borderId="149" xfId="0" applyFont="1" applyFill="1" applyBorder="1" applyAlignment="1" applyProtection="1">
      <alignment horizontal="center" vertical="center" wrapText="1"/>
      <protection locked="0"/>
    </xf>
    <xf numFmtId="170" fontId="2" fillId="6" borderId="150" xfId="0" applyFont="1" applyFill="1" applyBorder="1" applyAlignment="1" applyProtection="1">
      <alignment horizontal="center" vertical="center" wrapText="1"/>
      <protection locked="0"/>
    </xf>
    <xf numFmtId="170" fontId="2" fillId="6" borderId="151" xfId="0" applyFont="1" applyFill="1" applyBorder="1" applyAlignment="1" applyProtection="1">
      <alignment horizontal="center" vertical="center" wrapText="1"/>
      <protection locked="0"/>
    </xf>
    <xf numFmtId="170" fontId="2" fillId="6" borderId="152" xfId="0" applyFont="1" applyFill="1" applyBorder="1" applyAlignment="1" applyProtection="1">
      <alignment horizontal="center" vertical="center" wrapText="1"/>
      <protection locked="0"/>
    </xf>
    <xf numFmtId="170" fontId="2" fillId="6" borderId="153" xfId="0" applyFont="1" applyFill="1" applyBorder="1" applyAlignment="1" applyProtection="1">
      <alignment horizontal="center" vertical="center" wrapText="1"/>
      <protection locked="0"/>
    </xf>
    <xf numFmtId="170" fontId="2" fillId="6" borderId="154" xfId="0" applyFont="1" applyFill="1" applyBorder="1" applyAlignment="1" applyProtection="1">
      <alignment horizontal="center" vertical="center" wrapText="1"/>
      <protection locked="0"/>
    </xf>
    <xf numFmtId="9" fontId="2" fillId="0" borderId="175" xfId="19" applyFont="1" applyFill="1" applyBorder="1" applyAlignment="1" applyProtection="1">
      <alignment horizontal="justify" vertical="center" wrapText="1"/>
    </xf>
    <xf numFmtId="170" fontId="2" fillId="0" borderId="160" xfId="19" applyNumberFormat="1" applyFont="1" applyFill="1" applyBorder="1" applyAlignment="1" applyProtection="1">
      <alignment horizontal="justify" vertical="center" wrapText="1"/>
    </xf>
    <xf numFmtId="170" fontId="2" fillId="0" borderId="176" xfId="19" applyNumberFormat="1" applyFont="1" applyFill="1" applyBorder="1" applyAlignment="1" applyProtection="1">
      <alignment horizontal="justify" vertical="center" wrapText="1"/>
    </xf>
    <xf numFmtId="170" fontId="2" fillId="0" borderId="175" xfId="19" applyNumberFormat="1" applyFont="1" applyFill="1" applyBorder="1" applyAlignment="1" applyProtection="1">
      <alignment horizontal="justify" vertical="center" wrapText="1"/>
    </xf>
    <xf numFmtId="170" fontId="2" fillId="5" borderId="142" xfId="0" applyFont="1" applyFill="1" applyBorder="1" applyAlignment="1" applyProtection="1">
      <alignment horizontal="justify" vertical="top" wrapText="1"/>
      <protection locked="0"/>
    </xf>
    <xf numFmtId="170" fontId="105" fillId="0" borderId="79" xfId="0" applyFont="1" applyBorder="1" applyAlignment="1">
      <alignment horizontal="justify" vertical="top" wrapText="1"/>
    </xf>
    <xf numFmtId="170" fontId="105" fillId="0" borderId="143" xfId="0" applyFont="1" applyBorder="1" applyAlignment="1">
      <alignment horizontal="justify" vertical="top" wrapText="1"/>
    </xf>
    <xf numFmtId="170" fontId="2" fillId="5" borderId="215" xfId="0" applyFont="1" applyFill="1" applyBorder="1" applyAlignment="1" applyProtection="1">
      <alignment horizontal="justify" vertical="top" wrapText="1"/>
      <protection locked="0"/>
    </xf>
    <xf numFmtId="170" fontId="105" fillId="0" borderId="216" xfId="0" applyFont="1" applyBorder="1" applyAlignment="1">
      <alignment horizontal="justify" vertical="top" wrapText="1"/>
    </xf>
    <xf numFmtId="170" fontId="105" fillId="0" borderId="217" xfId="0" applyFont="1" applyBorder="1" applyAlignment="1">
      <alignment horizontal="justify" vertical="top" wrapText="1"/>
    </xf>
    <xf numFmtId="170" fontId="2" fillId="0" borderId="180" xfId="0" applyFont="1" applyBorder="1" applyAlignment="1">
      <alignment horizontal="justify" vertical="center" wrapText="1"/>
    </xf>
    <xf numFmtId="170" fontId="2" fillId="0" borderId="181" xfId="0" applyFont="1" applyBorder="1" applyAlignment="1">
      <alignment horizontal="justify" vertical="center" wrapText="1"/>
    </xf>
    <xf numFmtId="170" fontId="2" fillId="0" borderId="182" xfId="0" applyFont="1" applyBorder="1" applyAlignment="1">
      <alignment horizontal="justify" vertical="center" wrapText="1"/>
    </xf>
    <xf numFmtId="170" fontId="70" fillId="4" borderId="106" xfId="0" applyFont="1" applyFill="1" applyBorder="1" applyAlignment="1">
      <alignment horizontal="center" vertical="center" textRotation="90"/>
    </xf>
    <xf numFmtId="170" fontId="0" fillId="4" borderId="65" xfId="0" applyFill="1" applyBorder="1" applyAlignment="1">
      <alignment horizontal="center" vertical="center" textRotation="90"/>
    </xf>
    <xf numFmtId="170" fontId="0" fillId="4" borderId="75" xfId="0" applyFill="1" applyBorder="1" applyAlignment="1">
      <alignment horizontal="center" vertical="center" textRotation="90"/>
    </xf>
    <xf numFmtId="170" fontId="14" fillId="0" borderId="203" xfId="0" applyFont="1" applyBorder="1" applyAlignment="1" applyProtection="1">
      <alignment horizontal="left"/>
      <protection locked="0"/>
    </xf>
    <xf numFmtId="170" fontId="14" fillId="0" borderId="160" xfId="0" applyFont="1" applyBorder="1" applyAlignment="1" applyProtection="1">
      <alignment horizontal="left"/>
      <protection locked="0"/>
    </xf>
    <xf numFmtId="170" fontId="14" fillId="0" borderId="192" xfId="0" applyFont="1" applyBorder="1" applyAlignment="1" applyProtection="1">
      <alignment horizontal="left"/>
      <protection locked="0"/>
    </xf>
    <xf numFmtId="170" fontId="14" fillId="0" borderId="204" xfId="0" applyFont="1" applyBorder="1" applyAlignment="1" applyProtection="1">
      <alignment horizontal="left"/>
      <protection locked="0"/>
    </xf>
    <xf numFmtId="170" fontId="14" fillId="0" borderId="193" xfId="0" applyFont="1" applyBorder="1" applyAlignment="1" applyProtection="1">
      <alignment horizontal="left"/>
      <protection locked="0"/>
    </xf>
    <xf numFmtId="170" fontId="14" fillId="0" borderId="194" xfId="0" applyFont="1" applyBorder="1" applyAlignment="1" applyProtection="1">
      <alignment horizontal="left"/>
      <protection locked="0"/>
    </xf>
    <xf numFmtId="170" fontId="14" fillId="0" borderId="189" xfId="0" applyFont="1" applyBorder="1" applyAlignment="1" applyProtection="1">
      <alignment horizontal="left"/>
      <protection locked="0"/>
    </xf>
    <xf numFmtId="170" fontId="14" fillId="0" borderId="183" xfId="0" applyFont="1" applyBorder="1" applyAlignment="1" applyProtection="1">
      <alignment horizontal="left"/>
      <protection locked="0"/>
    </xf>
    <xf numFmtId="170" fontId="14" fillId="0" borderId="190" xfId="0" applyFont="1" applyBorder="1" applyAlignment="1" applyProtection="1">
      <alignment horizontal="left"/>
      <protection locked="0"/>
    </xf>
    <xf numFmtId="170" fontId="14" fillId="0" borderId="191" xfId="0" applyFont="1" applyBorder="1" applyAlignment="1" applyProtection="1">
      <alignment horizontal="left"/>
      <protection locked="0"/>
    </xf>
    <xf numFmtId="170" fontId="14" fillId="0" borderId="195" xfId="0" applyFont="1" applyBorder="1" applyAlignment="1" applyProtection="1">
      <alignment horizontal="left" vertical="top" wrapText="1"/>
      <protection locked="0"/>
    </xf>
    <xf numFmtId="170" fontId="14" fillId="0" borderId="196" xfId="0" applyFont="1" applyBorder="1" applyAlignment="1" applyProtection="1">
      <alignment horizontal="left" vertical="top" wrapText="1"/>
      <protection locked="0"/>
    </xf>
    <xf numFmtId="170" fontId="14" fillId="0" borderId="197" xfId="0" applyFont="1" applyBorder="1" applyAlignment="1" applyProtection="1">
      <alignment horizontal="left" vertical="top" wrapText="1"/>
      <protection locked="0"/>
    </xf>
    <xf numFmtId="170" fontId="14" fillId="0" borderId="198" xfId="0" applyFont="1" applyBorder="1" applyAlignment="1" applyProtection="1">
      <alignment horizontal="left" vertical="top" wrapText="1"/>
      <protection locked="0"/>
    </xf>
    <xf numFmtId="170" fontId="14" fillId="0" borderId="163" xfId="0" applyFont="1" applyBorder="1" applyAlignment="1" applyProtection="1">
      <alignment horizontal="left" vertical="top" wrapText="1"/>
      <protection locked="0"/>
    </xf>
    <xf numFmtId="170" fontId="14" fillId="0" borderId="199" xfId="0" applyFont="1" applyBorder="1" applyAlignment="1" applyProtection="1">
      <alignment horizontal="left" vertical="top" wrapText="1"/>
      <protection locked="0"/>
    </xf>
    <xf numFmtId="170" fontId="14" fillId="0" borderId="21" xfId="0" applyFont="1" applyBorder="1" applyAlignment="1" applyProtection="1">
      <alignment horizontal="left"/>
      <protection locked="0"/>
    </xf>
    <xf numFmtId="170" fontId="14" fillId="0" borderId="184" xfId="0" applyFont="1" applyBorder="1" applyAlignment="1" applyProtection="1">
      <alignment horizontal="left"/>
      <protection locked="0"/>
    </xf>
    <xf numFmtId="170" fontId="14" fillId="0" borderId="205" xfId="0" applyFont="1" applyBorder="1" applyAlignment="1" applyProtection="1">
      <alignment horizontal="left" vertical="top" wrapText="1"/>
      <protection locked="0"/>
    </xf>
    <xf numFmtId="170" fontId="14" fillId="0" borderId="206" xfId="0" applyFont="1" applyBorder="1" applyAlignment="1" applyProtection="1">
      <alignment horizontal="left" vertical="top" wrapText="1"/>
      <protection locked="0"/>
    </xf>
    <xf numFmtId="170" fontId="14" fillId="0" borderId="207" xfId="0" applyFont="1" applyBorder="1" applyAlignment="1" applyProtection="1">
      <alignment horizontal="left" vertical="top" wrapText="1"/>
      <protection locked="0"/>
    </xf>
    <xf numFmtId="170" fontId="14" fillId="0" borderId="208" xfId="0" applyFont="1" applyBorder="1" applyAlignment="1" applyProtection="1">
      <alignment horizontal="left" vertical="top" wrapText="1"/>
      <protection locked="0"/>
    </xf>
    <xf numFmtId="170" fontId="14" fillId="0" borderId="201" xfId="0" applyFont="1" applyBorder="1" applyAlignment="1" applyProtection="1">
      <alignment horizontal="left"/>
      <protection locked="0"/>
    </xf>
    <xf numFmtId="170" fontId="51" fillId="4" borderId="4" xfId="18" applyFont="1" applyFill="1" applyBorder="1" applyAlignment="1">
      <alignment horizontal="center" vertical="center" wrapText="1"/>
    </xf>
    <xf numFmtId="170" fontId="51" fillId="4" borderId="212" xfId="18" applyFont="1" applyFill="1" applyBorder="1" applyAlignment="1">
      <alignment horizontal="center" vertical="center" wrapText="1"/>
    </xf>
    <xf numFmtId="170" fontId="14" fillId="0" borderId="185" xfId="0" applyFont="1" applyBorder="1" applyAlignment="1" applyProtection="1">
      <alignment horizontal="left"/>
      <protection locked="0"/>
    </xf>
    <xf numFmtId="170" fontId="14" fillId="0" borderId="209" xfId="0" applyFont="1" applyBorder="1" applyAlignment="1" applyProtection="1">
      <alignment horizontal="justify" vertical="center" wrapText="1"/>
      <protection locked="0"/>
    </xf>
    <xf numFmtId="170" fontId="14" fillId="0" borderId="206" xfId="0" applyFont="1" applyBorder="1" applyAlignment="1" applyProtection="1">
      <alignment horizontal="justify" vertical="center" wrapText="1"/>
      <protection locked="0"/>
    </xf>
    <xf numFmtId="170" fontId="14" fillId="0" borderId="210" xfId="0" applyFont="1" applyBorder="1" applyAlignment="1" applyProtection="1">
      <alignment horizontal="justify" vertical="center" wrapText="1"/>
      <protection locked="0"/>
    </xf>
    <xf numFmtId="170" fontId="14" fillId="0" borderId="211" xfId="0" applyFont="1" applyBorder="1" applyAlignment="1" applyProtection="1">
      <alignment horizontal="justify" vertical="center" wrapText="1"/>
      <protection locked="0"/>
    </xf>
    <xf numFmtId="170" fontId="14" fillId="0" borderId="163" xfId="0" applyFont="1" applyBorder="1" applyAlignment="1" applyProtection="1">
      <alignment horizontal="justify" vertical="center" wrapText="1"/>
      <protection locked="0"/>
    </xf>
    <xf numFmtId="170" fontId="14" fillId="0" borderId="199" xfId="0" applyFont="1" applyBorder="1" applyAlignment="1" applyProtection="1">
      <alignment horizontal="justify" vertical="center" wrapText="1"/>
      <protection locked="0"/>
    </xf>
    <xf numFmtId="170" fontId="14" fillId="0" borderId="160" xfId="0" applyFont="1" applyBorder="1" applyAlignment="1" applyProtection="1">
      <alignment horizontal="left" vertical="center" wrapText="1"/>
      <protection locked="0"/>
    </xf>
    <xf numFmtId="170" fontId="14" fillId="0" borderId="192" xfId="0" applyFont="1" applyBorder="1" applyAlignment="1" applyProtection="1">
      <alignment horizontal="left" vertical="center" wrapText="1"/>
      <protection locked="0"/>
    </xf>
    <xf numFmtId="170" fontId="14" fillId="0" borderId="193" xfId="0" applyFont="1" applyBorder="1" applyAlignment="1" applyProtection="1">
      <alignment horizontal="left" vertical="center" wrapText="1"/>
      <protection locked="0"/>
    </xf>
    <xf numFmtId="170" fontId="14" fillId="0" borderId="194" xfId="0" applyFont="1" applyBorder="1" applyAlignment="1" applyProtection="1">
      <alignment horizontal="left" vertical="center" wrapText="1"/>
      <protection locked="0"/>
    </xf>
    <xf numFmtId="170" fontId="14" fillId="0" borderId="200" xfId="0" applyFont="1" applyBorder="1" applyAlignment="1" applyProtection="1">
      <alignment horizontal="left"/>
      <protection locked="0"/>
    </xf>
    <xf numFmtId="170" fontId="14" fillId="0" borderId="213" xfId="0" applyFont="1" applyBorder="1" applyAlignment="1" applyProtection="1">
      <alignment horizontal="justify" vertical="center" wrapText="1"/>
      <protection locked="0"/>
    </xf>
    <xf numFmtId="170" fontId="14" fillId="0" borderId="196" xfId="0" applyFont="1" applyBorder="1" applyAlignment="1" applyProtection="1">
      <alignment horizontal="justify" vertical="center" wrapText="1"/>
      <protection locked="0"/>
    </xf>
    <xf numFmtId="170" fontId="14" fillId="0" borderId="197" xfId="0" applyFont="1" applyBorder="1" applyAlignment="1" applyProtection="1">
      <alignment horizontal="justify" vertical="center" wrapText="1"/>
      <protection locked="0"/>
    </xf>
    <xf numFmtId="164" fontId="8" fillId="13" borderId="0" xfId="22" applyFont="1" applyFill="1" applyBorder="1" applyAlignment="1" applyProtection="1">
      <alignment horizontal="center"/>
      <protection locked="0"/>
    </xf>
    <xf numFmtId="170" fontId="51" fillId="4" borderId="186" xfId="18" applyFont="1" applyFill="1" applyBorder="1" applyAlignment="1">
      <alignment horizontal="center" vertical="center" wrapText="1"/>
    </xf>
    <xf numFmtId="170" fontId="51" fillId="4" borderId="187" xfId="18" applyFont="1" applyFill="1" applyBorder="1" applyAlignment="1">
      <alignment horizontal="center" vertical="center" wrapText="1"/>
    </xf>
    <xf numFmtId="170" fontId="51" fillId="4" borderId="188" xfId="18" applyFont="1" applyFill="1" applyBorder="1" applyAlignment="1">
      <alignment horizontal="center" vertical="center" wrapText="1"/>
    </xf>
    <xf numFmtId="170" fontId="105" fillId="5" borderId="108" xfId="0" applyFont="1" applyFill="1" applyBorder="1" applyAlignment="1" applyProtection="1">
      <alignment horizontal="justify" vertical="top" wrapText="1"/>
      <protection locked="0"/>
    </xf>
    <xf numFmtId="170" fontId="105" fillId="5" borderId="107" xfId="0" applyFont="1" applyFill="1" applyBorder="1" applyAlignment="1" applyProtection="1">
      <alignment horizontal="justify" vertical="top" wrapText="1"/>
      <protection locked="0"/>
    </xf>
    <xf numFmtId="170" fontId="105" fillId="5" borderId="109" xfId="0" applyFont="1" applyFill="1" applyBorder="1" applyAlignment="1" applyProtection="1">
      <alignment horizontal="justify" vertical="top" wrapText="1"/>
      <protection locked="0"/>
    </xf>
    <xf numFmtId="170" fontId="105" fillId="5" borderId="110" xfId="0" applyFont="1" applyFill="1" applyBorder="1" applyAlignment="1" applyProtection="1">
      <alignment horizontal="justify" vertical="top" wrapText="1"/>
      <protection locked="0"/>
    </xf>
    <xf numFmtId="170" fontId="105" fillId="5" borderId="72" xfId="0" applyFont="1" applyFill="1" applyBorder="1" applyAlignment="1" applyProtection="1">
      <alignment horizontal="justify" vertical="top" wrapText="1"/>
      <protection locked="0"/>
    </xf>
    <xf numFmtId="170" fontId="105" fillId="5" borderId="74" xfId="0" applyFont="1" applyFill="1" applyBorder="1" applyAlignment="1" applyProtection="1">
      <alignment horizontal="justify" vertical="top" wrapText="1"/>
      <protection locked="0"/>
    </xf>
    <xf numFmtId="170" fontId="51" fillId="4" borderId="202" xfId="18" applyFont="1" applyFill="1" applyBorder="1" applyAlignment="1">
      <alignment horizontal="center" vertical="center" wrapText="1"/>
    </xf>
    <xf numFmtId="170" fontId="26" fillId="0" borderId="0" xfId="0" applyFont="1" applyAlignment="1">
      <alignment horizontal="center"/>
    </xf>
    <xf numFmtId="164" fontId="10" fillId="14" borderId="0" xfId="4" applyFont="1" applyFill="1" applyAlignment="1">
      <alignment horizontal="center" vertical="center"/>
    </xf>
    <xf numFmtId="170" fontId="149" fillId="0" borderId="2" xfId="0" applyFont="1" applyBorder="1" applyAlignment="1" applyProtection="1">
      <alignment vertical="center" wrapText="1"/>
      <protection locked="0"/>
    </xf>
    <xf numFmtId="170" fontId="150" fillId="0" borderId="2" xfId="0" applyFont="1" applyBorder="1" applyAlignment="1" applyProtection="1">
      <alignment vertical="center" wrapText="1"/>
      <protection locked="0"/>
    </xf>
    <xf numFmtId="170" fontId="150" fillId="18" borderId="2" xfId="0" applyFont="1" applyFill="1" applyBorder="1" applyAlignment="1" applyProtection="1">
      <alignment vertical="center" wrapText="1"/>
      <protection locked="0"/>
    </xf>
    <xf numFmtId="170" fontId="150" fillId="18" borderId="26" xfId="0" applyFont="1" applyFill="1" applyBorder="1" applyAlignment="1" applyProtection="1">
      <alignment vertical="center" wrapText="1"/>
      <protection locked="0"/>
    </xf>
    <xf numFmtId="170" fontId="150" fillId="18" borderId="26" xfId="0" applyFont="1" applyFill="1" applyBorder="1" applyAlignment="1" applyProtection="1">
      <alignment horizontal="left" vertical="center" wrapText="1"/>
      <protection locked="0"/>
    </xf>
    <xf numFmtId="170" fontId="150" fillId="0" borderId="2" xfId="0" applyFont="1" applyBorder="1" applyAlignment="1" applyProtection="1">
      <alignment horizontal="left" vertical="center" wrapText="1"/>
      <protection locked="0"/>
    </xf>
    <xf numFmtId="170" fontId="149" fillId="0" borderId="106" xfId="0" applyFont="1" applyBorder="1" applyAlignment="1" applyProtection="1">
      <alignment horizontal="justify" vertical="center" wrapText="1"/>
      <protection locked="0"/>
    </xf>
    <xf numFmtId="170" fontId="150" fillId="18" borderId="106" xfId="0" applyFont="1" applyFill="1" applyBorder="1" applyAlignment="1" applyProtection="1">
      <alignment horizontal="justify" vertical="center" wrapText="1"/>
      <protection locked="0"/>
    </xf>
    <xf numFmtId="170" fontId="150" fillId="18" borderId="108" xfId="0" applyFont="1" applyFill="1" applyBorder="1" applyAlignment="1" applyProtection="1">
      <alignment horizontal="justify" vertical="center" wrapText="1"/>
      <protection locked="0"/>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54">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ill>
        <patternFill>
          <bgColor indexed="42"/>
        </patternFill>
      </fill>
    </dxf>
    <dxf>
      <fill>
        <patternFill>
          <bgColor theme="6" tint="0.79998168889431442"/>
        </patternFill>
      </fill>
    </dxf>
    <dxf>
      <fill>
        <patternFill>
          <bgColor theme="9" tint="0.79998168889431442"/>
        </patternFill>
      </fill>
    </dxf>
    <dxf>
      <fill>
        <patternFill>
          <bgColor indexed="42"/>
        </patternFill>
      </fill>
    </dxf>
    <dxf>
      <font>
        <condense val="0"/>
        <extend val="0"/>
        <color indexed="9"/>
      </font>
      <fill>
        <patternFill>
          <bgColor rgb="FFFF000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ill>
        <patternFill>
          <bgColor indexed="42"/>
        </patternFill>
      </fill>
    </dxf>
    <dxf>
      <fill>
        <patternFill>
          <bgColor indexed="42"/>
        </patternFill>
      </fill>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numFmt numFmtId="2" formatCode="0.0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datelor'!$D$85</c:f>
              <c:strCache>
                <c:ptCount val="1"/>
                <c:pt idx="0">
                  <c:v>13</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datelor'!$D$85:$D$86</c:f>
              <c:numCache>
                <c:formatCode>[$$-409]#,##0_);\([$$-409]#,##0\)</c:formatCode>
                <c:ptCount val="2"/>
                <c:pt idx="0" formatCode="#,##0">
                  <c:v>13</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805027288"/>
        <c:axId val="801251416"/>
      </c:barChart>
      <c:catAx>
        <c:axId val="805027288"/>
        <c:scaling>
          <c:orientation val="minMax"/>
        </c:scaling>
        <c:delete val="1"/>
        <c:axPos val="l"/>
        <c:numFmt formatCode="General" sourceLinked="1"/>
        <c:majorTickMark val="out"/>
        <c:minorTickMark val="none"/>
        <c:tickLblPos val="none"/>
        <c:crossAx val="801251416"/>
        <c:crosses val="autoZero"/>
        <c:auto val="1"/>
        <c:lblAlgn val="ctr"/>
        <c:lblOffset val="100"/>
        <c:noMultiLvlLbl val="0"/>
      </c:catAx>
      <c:valAx>
        <c:axId val="80125141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805027288"/>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datelor'!$C$90</c:f>
              <c:numCache>
                <c:formatCode>#,##0</c:formatCode>
                <c:ptCount val="1"/>
                <c:pt idx="0">
                  <c:v>1</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801250240"/>
        <c:axId val="644324304"/>
      </c:barChart>
      <c:catAx>
        <c:axId val="801250240"/>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644324304"/>
        <c:crosses val="autoZero"/>
        <c:auto val="0"/>
        <c:lblAlgn val="ctr"/>
        <c:lblOffset val="100"/>
        <c:tickMarkSkip val="1"/>
        <c:noMultiLvlLbl val="0"/>
      </c:catAx>
      <c:valAx>
        <c:axId val="644324304"/>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801250240"/>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datelor'!$D$77</c:f>
              <c:strCache>
                <c:ptCount val="1"/>
                <c:pt idx="0">
                  <c:v>Finalizate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datelor'!$D$78:$D$79</c:f>
              <c:numCache>
                <c:formatCode>0</c:formatCode>
                <c:ptCount val="2"/>
              </c:numCache>
            </c:numRef>
          </c:val>
          <c:extLst>
            <c:ext xmlns:c16="http://schemas.microsoft.com/office/drawing/2014/chart" uri="{C3380CC4-5D6E-409C-BE32-E72D297353CC}">
              <c16:uniqueId val="{00000000-D08E-42FA-87E5-9BAD02454A53}"/>
            </c:ext>
          </c:extLst>
        </c:ser>
        <c:ser>
          <c:idx val="1"/>
          <c:order val="1"/>
          <c:tx>
            <c:strRef>
              <c:f>'Introducerea datelor'!$E$77</c:f>
              <c:strCache>
                <c:ptCount val="1"/>
                <c:pt idx="0">
                  <c:v>Nefinalizate, dar realizate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datelor'!$E$78:$E$79</c:f>
              <c:numCache>
                <c:formatCode>0</c:formatCode>
                <c:ptCount val="2"/>
              </c:numCache>
            </c:numRef>
          </c:val>
          <c:extLst>
            <c:ext xmlns:c16="http://schemas.microsoft.com/office/drawing/2014/chart" uri="{C3380CC4-5D6E-409C-BE32-E72D297353CC}">
              <c16:uniqueId val="{00000001-D08E-42FA-87E5-9BAD02454A53}"/>
            </c:ext>
          </c:extLst>
        </c:ser>
        <c:ser>
          <c:idx val="2"/>
          <c:order val="2"/>
          <c:tx>
            <c:strRef>
              <c:f>'Introducerea datelor'!$F$77</c:f>
              <c:strCache>
                <c:ptCount val="1"/>
                <c:pt idx="0">
                  <c:v>Nefinalizate, care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datelor'!$F$78:$F$79</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644324696"/>
        <c:axId val="530742616"/>
      </c:barChart>
      <c:catAx>
        <c:axId val="644324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0742616"/>
        <c:crosses val="autoZero"/>
        <c:auto val="1"/>
        <c:lblAlgn val="ctr"/>
        <c:lblOffset val="100"/>
        <c:tickLblSkip val="1"/>
        <c:tickMarkSkip val="1"/>
        <c:noMultiLvlLbl val="0"/>
      </c:catAx>
      <c:valAx>
        <c:axId val="53074261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432469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datelor'!$D$94</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datelor'!$D$95:$D$96</c:f>
              <c:numCache>
                <c:formatCode>0</c:formatCode>
                <c:ptCount val="2"/>
                <c:pt idx="1">
                  <c:v>1</c:v>
                </c:pt>
              </c:numCache>
            </c:numRef>
          </c:val>
          <c:extLst>
            <c:ext xmlns:c16="http://schemas.microsoft.com/office/drawing/2014/chart" uri="{C3380CC4-5D6E-409C-BE32-E72D297353CC}">
              <c16:uniqueId val="{00000000-0579-471F-8EB0-B16F21AC51C8}"/>
            </c:ext>
          </c:extLst>
        </c:ser>
        <c:ser>
          <c:idx val="2"/>
          <c:order val="1"/>
          <c:tx>
            <c:strRef>
              <c:f>'Introducerea datelor'!$E$94</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datelor'!$E$95:$E$96</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656996352"/>
        <c:axId val="656996744"/>
      </c:barChart>
      <c:catAx>
        <c:axId val="656996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744"/>
        <c:crosses val="autoZero"/>
        <c:auto val="1"/>
        <c:lblAlgn val="ctr"/>
        <c:lblOffset val="100"/>
        <c:noMultiLvlLbl val="0"/>
      </c:catAx>
      <c:valAx>
        <c:axId val="6569967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35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94068730875009"/>
          <c:y val="0.10989010989011004"/>
          <c:w val="0.7977232881383729"/>
          <c:h val="0.4182988352683446"/>
        </c:manualLayout>
      </c:layout>
      <c:barChart>
        <c:barDir val="col"/>
        <c:grouping val="clustered"/>
        <c:varyColors val="0"/>
        <c:ser>
          <c:idx val="0"/>
          <c:order val="0"/>
          <c:tx>
            <c:strRef>
              <c:f>'Introducerea datelor'!$B$104</c:f>
              <c:strCache>
                <c:ptCount val="1"/>
                <c:pt idx="0">
                  <c:v>Buget Aprobat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datelor'!$C$104:$N$104</c:f>
              <c:numCache>
                <c:formatCode>#,##0</c:formatCode>
                <c:ptCount val="12"/>
                <c:pt idx="0">
                  <c:v>194649.83999999997</c:v>
                </c:pt>
                <c:pt idx="1">
                  <c:v>984334.2699999999</c:v>
                </c:pt>
                <c:pt idx="2">
                  <c:v>2249984.89</c:v>
                </c:pt>
                <c:pt idx="3">
                  <c:v>4478626.0199999996</c:v>
                </c:pt>
                <c:pt idx="4">
                  <c:v>6593812.5699999994</c:v>
                </c:pt>
                <c:pt idx="5">
                  <c:v>9282289.1199999992</c:v>
                </c:pt>
              </c:numCache>
            </c:numRef>
          </c:val>
          <c:extLst>
            <c:ext xmlns:c16="http://schemas.microsoft.com/office/drawing/2014/chart" uri="{C3380CC4-5D6E-409C-BE32-E72D297353CC}">
              <c16:uniqueId val="{00000000-C2BB-4102-AC1C-6C02FD33FD2D}"/>
            </c:ext>
          </c:extLst>
        </c:ser>
        <c:ser>
          <c:idx val="1"/>
          <c:order val="1"/>
          <c:tx>
            <c:strRef>
              <c:f>'Introducerea datelor'!$B$105</c:f>
              <c:strCache>
                <c:ptCount val="1"/>
                <c:pt idx="0">
                  <c:v>Obligațiuni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datelor'!$C$105:$N$105</c:f>
              <c:numCache>
                <c:formatCode>#,##0</c:formatCode>
                <c:ptCount val="12"/>
                <c:pt idx="0">
                  <c:v>412674.4182289688</c:v>
                </c:pt>
                <c:pt idx="1">
                  <c:v>1687833.782021337</c:v>
                </c:pt>
                <c:pt idx="2">
                  <c:v>3530106.4653643779</c:v>
                </c:pt>
                <c:pt idx="3">
                  <c:v>6309739.8119925745</c:v>
                </c:pt>
                <c:pt idx="4">
                  <c:v>6911663.0041538309</c:v>
                </c:pt>
                <c:pt idx="5">
                  <c:v>7502180.1678989436</c:v>
                </c:pt>
              </c:numCache>
            </c:numRef>
          </c:val>
          <c:extLst>
            <c:ext xmlns:c16="http://schemas.microsoft.com/office/drawing/2014/chart" uri="{C3380CC4-5D6E-409C-BE32-E72D297353CC}">
              <c16:uniqueId val="{00000001-C2BB-4102-AC1C-6C02FD33FD2D}"/>
            </c:ext>
          </c:extLst>
        </c:ser>
        <c:ser>
          <c:idx val="2"/>
          <c:order val="2"/>
          <c:tx>
            <c:strRef>
              <c:f>'Introducerea datelor'!$B$106</c:f>
              <c:strCache>
                <c:ptCount val="1"/>
                <c:pt idx="0">
                  <c:v>Cheltuieli cumulative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datelor'!$C$106:$N$106</c:f>
              <c:numCache>
                <c:formatCode>#,##0</c:formatCode>
                <c:ptCount val="12"/>
                <c:pt idx="0">
                  <c:v>199615.16</c:v>
                </c:pt>
                <c:pt idx="1">
                  <c:v>1011364.08</c:v>
                </c:pt>
                <c:pt idx="2">
                  <c:v>2292594.64</c:v>
                </c:pt>
                <c:pt idx="3">
                  <c:v>5410224.1500000004</c:v>
                </c:pt>
                <c:pt idx="4">
                  <c:v>6458459.9300000006</c:v>
                </c:pt>
                <c:pt idx="5">
                  <c:v>7977197.3900000006</c:v>
                </c:pt>
              </c:numCache>
            </c:numRef>
          </c:val>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gapWidth val="100"/>
        <c:overlap val="-24"/>
        <c:axId val="527714528"/>
        <c:axId val="527714920"/>
      </c:barChart>
      <c:catAx>
        <c:axId val="52771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920"/>
        <c:crosses val="autoZero"/>
        <c:auto val="1"/>
        <c:lblAlgn val="ctr"/>
        <c:lblOffset val="100"/>
        <c:noMultiLvlLbl val="0"/>
      </c:catAx>
      <c:valAx>
        <c:axId val="527714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datelor'!$B$33</c:f>
              <c:strCache>
                <c:ptCount val="1"/>
                <c:pt idx="0">
                  <c:v>Buget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datelor'!$C$33:$N$33</c:f>
              <c:numCache>
                <c:formatCode>#,##0</c:formatCode>
                <c:ptCount val="12"/>
                <c:pt idx="0">
                  <c:v>1488326.86</c:v>
                </c:pt>
                <c:pt idx="1">
                  <c:v>4050294.59</c:v>
                </c:pt>
                <c:pt idx="2">
                  <c:v>7417028.4699999997</c:v>
                </c:pt>
                <c:pt idx="3">
                  <c:v>11515644.109999999</c:v>
                </c:pt>
                <c:pt idx="4">
                  <c:v>16831308.449999999</c:v>
                </c:pt>
                <c:pt idx="5">
                  <c:v>23492633.59</c:v>
                </c:pt>
                <c:pt idx="6">
                  <c:v>0</c:v>
                </c:pt>
                <c:pt idx="7">
                  <c:v>0</c:v>
                </c:pt>
                <c:pt idx="8">
                  <c:v>0</c:v>
                </c:pt>
                <c:pt idx="9">
                  <c:v>0</c:v>
                </c:pt>
                <c:pt idx="10">
                  <c:v>0</c:v>
                </c:pt>
                <c:pt idx="11">
                  <c:v>0</c:v>
                </c:pt>
              </c:numCache>
            </c:numRef>
          </c:val>
          <c:extLst>
            <c:ext xmlns:c16="http://schemas.microsoft.com/office/drawing/2014/chart" uri="{C3380CC4-5D6E-409C-BE32-E72D297353CC}">
              <c16:uniqueId val="{00000004-5E33-4D7D-98B5-0C828C153590}"/>
            </c:ext>
          </c:extLst>
        </c:ser>
        <c:ser>
          <c:idx val="1"/>
          <c:order val="1"/>
          <c:tx>
            <c:strRef>
              <c:f>'Introducerea datelor'!$B$34</c:f>
              <c:strCache>
                <c:ptCount val="1"/>
                <c:pt idx="0">
                  <c:v>Debursări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datelor'!$C$34:$N$34</c:f>
              <c:numCache>
                <c:formatCode>#,##0</c:formatCode>
                <c:ptCount val="12"/>
                <c:pt idx="0">
                  <c:v>5100114.6100000003</c:v>
                </c:pt>
                <c:pt idx="1">
                  <c:v>7384542.5800000001</c:v>
                </c:pt>
                <c:pt idx="2">
                  <c:v>9611824.5999999996</c:v>
                </c:pt>
                <c:pt idx="3">
                  <c:v>16428180.629999999</c:v>
                </c:pt>
                <c:pt idx="4">
                  <c:v>19563175.899999999</c:v>
                </c:pt>
                <c:pt idx="5">
                  <c:v>21454351.759999998</c:v>
                </c:pt>
                <c:pt idx="6">
                  <c:v>0</c:v>
                </c:pt>
                <c:pt idx="7">
                  <c:v>0</c:v>
                </c:pt>
                <c:pt idx="8">
                  <c:v>0</c:v>
                </c:pt>
                <c:pt idx="9">
                  <c:v>0</c:v>
                </c:pt>
                <c:pt idx="10">
                  <c:v>0</c:v>
                </c:pt>
                <c:pt idx="11">
                  <c:v>0</c:v>
                </c:pt>
              </c:numCache>
            </c:numRef>
          </c:val>
          <c:extLst>
            <c:ext xmlns:c16="http://schemas.microsoft.com/office/drawing/2014/chart" uri="{C3380CC4-5D6E-409C-BE32-E72D297353CC}">
              <c16:uniqueId val="{00000006-5E33-4D7D-98B5-0C828C153590}"/>
            </c:ext>
          </c:extLst>
        </c:ser>
        <c:dLbls>
          <c:showLegendKey val="0"/>
          <c:showVal val="0"/>
          <c:showCatName val="0"/>
          <c:showSerName val="0"/>
          <c:showPercent val="0"/>
          <c:showBubbleSize val="0"/>
        </c:dLbls>
        <c:gapWidth val="100"/>
        <c:overlap val="-24"/>
        <c:axId val="527715704"/>
        <c:axId val="527716096"/>
      </c:barChart>
      <c:catAx>
        <c:axId val="527715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6096"/>
        <c:crosses val="autoZero"/>
        <c:auto val="1"/>
        <c:lblAlgn val="ctr"/>
        <c:lblOffset val="100"/>
        <c:tickMarkSkip val="1"/>
        <c:noMultiLvlLbl val="0"/>
      </c:catAx>
      <c:valAx>
        <c:axId val="52771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5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tx>
            <c:strRef>
              <c:f>'Introducerea datelor'!$C$57</c:f>
              <c:strCache>
                <c:ptCount val="1"/>
                <c:pt idx="0">
                  <c:v>Către perioada de raportare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datelor'!$C$57:$C$61</c15:sqref>
                  </c15:fullRef>
                </c:ext>
              </c:extLst>
              <c:f>'Introducerea datelor'!$C$58:$C$61</c:f>
              <c:numCache>
                <c:formatCode>#,##0.00</c:formatCode>
                <c:ptCount val="4"/>
                <c:pt idx="0">
                  <c:v>19563175.899999999</c:v>
                </c:pt>
                <c:pt idx="1">
                  <c:v>12763352.539999999</c:v>
                </c:pt>
                <c:pt idx="2">
                  <c:v>4517863.9800000004</c:v>
                </c:pt>
                <c:pt idx="3">
                  <c:v>2854935.2299999995</c:v>
                </c:pt>
              </c:numCache>
            </c:numRef>
          </c:val>
          <c:extLst>
            <c:ext xmlns:c16="http://schemas.microsoft.com/office/drawing/2014/chart" uri="{C3380CC4-5D6E-409C-BE32-E72D297353CC}">
              <c16:uniqueId val="{00000000-C369-4708-87A9-A84FC531C4BE}"/>
            </c:ext>
          </c:extLst>
        </c:ser>
        <c:ser>
          <c:idx val="1"/>
          <c:order val="1"/>
          <c:tx>
            <c:strRef>
              <c:f>'Introducerea datelor'!$D$57</c:f>
              <c:strCache>
                <c:ptCount val="1"/>
                <c:pt idx="0">
                  <c:v>Perioada de raportare curentă</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datelor'!$D$57:$D$61</c15:sqref>
                  </c15:fullRef>
                </c:ext>
              </c:extLst>
              <c:f>'Introducerea datelor'!$D$58:$D$61</c:f>
              <c:numCache>
                <c:formatCode>#,##0.00</c:formatCode>
                <c:ptCount val="4"/>
                <c:pt idx="0">
                  <c:v>1891175.86</c:v>
                </c:pt>
                <c:pt idx="1">
                  <c:v>3864765.5</c:v>
                </c:pt>
                <c:pt idx="2">
                  <c:v>586022.99</c:v>
                </c:pt>
                <c:pt idx="3">
                  <c:v>2224859.3800000008</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00"/>
        <c:overlap val="-24"/>
        <c:axId val="527592400"/>
        <c:axId val="527592792"/>
      </c:barChart>
      <c:catAx>
        <c:axId val="527592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792"/>
        <c:crossesAt val="0"/>
        <c:auto val="1"/>
        <c:lblAlgn val="ctr"/>
        <c:lblOffset val="100"/>
        <c:noMultiLvlLbl val="0"/>
      </c:catAx>
      <c:valAx>
        <c:axId val="527592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datelor'!$C$38</c:f>
              <c:strCache>
                <c:ptCount val="1"/>
                <c:pt idx="0">
                  <c:v>Bugetul Cumulativ (în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RSSH: Sisteme informaționale de management în sănătate și M&amp;E</c:v>
                </c:pt>
                <c:pt idx="7">
                  <c:v>RSSH: Resurse umane în domeniul sănătății, inclusiv personal medical comunitar</c:v>
                </c:pt>
                <c:pt idx="8">
                  <c:v>RSSH: Furnizarea serviciilor integrate și ameliorarea calității acestora</c:v>
                </c:pt>
                <c:pt idx="9">
                  <c:v>RSSH: Sisteme de laboratoare</c:v>
                </c:pt>
                <c:pt idx="10">
                  <c:v>Servicii de îngrijire și prevenire a TB</c:v>
                </c:pt>
              </c:strCache>
            </c:strRef>
          </c:cat>
          <c:val>
            <c:numRef>
              <c:extLst>
                <c:ext xmlns:c15="http://schemas.microsoft.com/office/drawing/2012/chart" uri="{02D57815-91ED-43cb-92C2-25804820EDAC}">
                  <c15:fullRef>
                    <c15:sqref>'Introducerea datelor'!$C$38:$C$49</c15:sqref>
                  </c15:fullRef>
                </c:ext>
              </c:extLst>
              <c:f>'Introducerea datelor'!$C$39:$C$49</c:f>
              <c:numCache>
                <c:formatCode>#,##0.00</c:formatCode>
                <c:ptCount val="11"/>
                <c:pt idx="0">
                  <c:v>288979.94</c:v>
                </c:pt>
                <c:pt idx="1">
                  <c:v>8482289.9600000009</c:v>
                </c:pt>
                <c:pt idx="2">
                  <c:v>4541343.5</c:v>
                </c:pt>
                <c:pt idx="3">
                  <c:v>1654911.42</c:v>
                </c:pt>
                <c:pt idx="4">
                  <c:v>281475.46999999997</c:v>
                </c:pt>
                <c:pt idx="5">
                  <c:v>288018.02</c:v>
                </c:pt>
                <c:pt idx="6">
                  <c:v>738141.62</c:v>
                </c:pt>
                <c:pt idx="7">
                  <c:v>158554.82999999999</c:v>
                </c:pt>
                <c:pt idx="8">
                  <c:v>130367.85</c:v>
                </c:pt>
                <c:pt idx="9">
                  <c:v>190071.31</c:v>
                </c:pt>
                <c:pt idx="10">
                  <c:v>218548.92</c:v>
                </c:pt>
              </c:numCache>
            </c:numRef>
          </c:val>
          <c:extLst>
            <c:ext xmlns:c16="http://schemas.microsoft.com/office/drawing/2014/chart" uri="{C3380CC4-5D6E-409C-BE32-E72D297353CC}">
              <c16:uniqueId val="{00000000-508A-4635-A6E2-88ADAD0856AB}"/>
            </c:ext>
          </c:extLst>
        </c:ser>
        <c:ser>
          <c:idx val="1"/>
          <c:order val="1"/>
          <c:tx>
            <c:strRef>
              <c:f>'Introducerea datelor'!$D$38</c:f>
              <c:strCache>
                <c:ptCount val="1"/>
                <c:pt idx="0">
                  <c:v>Cheltuielile Cumulative (în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RSSH: Sisteme informaționale de management în sănătate și M&amp;E</c:v>
                </c:pt>
                <c:pt idx="7">
                  <c:v>RSSH: Resurse umane în domeniul sănătății, inclusiv personal medical comunitar</c:v>
                </c:pt>
                <c:pt idx="8">
                  <c:v>RSSH: Furnizarea serviciilor integrate și ameliorarea calității acestora</c:v>
                </c:pt>
                <c:pt idx="9">
                  <c:v>RSSH: Sisteme de laboratoare</c:v>
                </c:pt>
                <c:pt idx="10">
                  <c:v>Servicii de îngrijire și prevenire a TB</c:v>
                </c:pt>
              </c:strCache>
            </c:strRef>
          </c:cat>
          <c:val>
            <c:numRef>
              <c:extLst>
                <c:ext xmlns:c15="http://schemas.microsoft.com/office/drawing/2012/chart" uri="{02D57815-91ED-43cb-92C2-25804820EDAC}">
                  <c15:fullRef>
                    <c15:sqref>'Introducerea datelor'!$D$38:$D$49</c15:sqref>
                  </c15:fullRef>
                </c:ext>
              </c:extLst>
              <c:f>'Introducerea datelor'!$D$39:$D$49</c:f>
              <c:numCache>
                <c:formatCode>#,##0.00</c:formatCode>
                <c:ptCount val="11"/>
                <c:pt idx="0">
                  <c:v>270624.58</c:v>
                </c:pt>
                <c:pt idx="1">
                  <c:v>6141704.3700000001</c:v>
                </c:pt>
                <c:pt idx="2">
                  <c:v>4408128.95</c:v>
                </c:pt>
                <c:pt idx="3">
                  <c:v>1610237.28</c:v>
                </c:pt>
                <c:pt idx="4">
                  <c:v>240967.71</c:v>
                </c:pt>
                <c:pt idx="5">
                  <c:v>355357.19</c:v>
                </c:pt>
                <c:pt idx="6">
                  <c:v>1031360.49</c:v>
                </c:pt>
                <c:pt idx="7">
                  <c:v>276278.96999999997</c:v>
                </c:pt>
                <c:pt idx="8">
                  <c:v>225378.69</c:v>
                </c:pt>
                <c:pt idx="9">
                  <c:v>199062.84</c:v>
                </c:pt>
                <c:pt idx="10">
                  <c:v>247948.52</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00"/>
        <c:overlap val="-24"/>
        <c:axId val="656997528"/>
        <c:axId val="799551880"/>
      </c:barChart>
      <c:catAx>
        <c:axId val="656997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1880"/>
        <c:crosses val="autoZero"/>
        <c:auto val="1"/>
        <c:lblAlgn val="ctr"/>
        <c:lblOffset val="100"/>
        <c:tickMarkSkip val="1"/>
        <c:noMultiLvlLbl val="0"/>
      </c:catAx>
      <c:valAx>
        <c:axId val="799551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97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1"/>
          <c:order val="0"/>
          <c:tx>
            <c:strRef>
              <c:f>'Introducerea datelor'!$G$125</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datelor'!$H$125:$S$125</c:f>
              <c:numCache>
                <c:formatCode>0.0</c:formatCode>
                <c:ptCount val="12"/>
                <c:pt idx="0">
                  <c:v>21</c:v>
                </c:pt>
                <c:pt idx="1">
                  <c:v>24.29</c:v>
                </c:pt>
                <c:pt idx="2">
                  <c:v>24.3</c:v>
                </c:pt>
                <c:pt idx="3" formatCode="0.00">
                  <c:v>23.07</c:v>
                </c:pt>
                <c:pt idx="4" formatCode="0.00">
                  <c:v>23.07</c:v>
                </c:pt>
                <c:pt idx="5" formatCode="0.00">
                  <c:v>21.92</c:v>
                </c:pt>
                <c:pt idx="6" formatCode="0.00">
                  <c:v>21.92</c:v>
                </c:pt>
              </c:numCache>
            </c:numRef>
          </c:val>
          <c:extLst>
            <c:ext xmlns:c16="http://schemas.microsoft.com/office/drawing/2014/chart" uri="{C3380CC4-5D6E-409C-BE32-E72D297353CC}">
              <c16:uniqueId val="{00000002-DCD8-4C81-A46D-B0AFC1EAE687}"/>
            </c:ext>
          </c:extLst>
        </c:ser>
        <c:ser>
          <c:idx val="2"/>
          <c:order val="1"/>
          <c:tx>
            <c:strRef>
              <c:f>'Introducerea datelor'!$G$126</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5-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datelor'!$H$126:$S$126</c:f>
              <c:numCache>
                <c:formatCode>0.00</c:formatCode>
                <c:ptCount val="12"/>
                <c:pt idx="0">
                  <c:v>27.92</c:v>
                </c:pt>
                <c:pt idx="1">
                  <c:v>28.35</c:v>
                </c:pt>
                <c:pt idx="2">
                  <c:v>28.35</c:v>
                </c:pt>
                <c:pt idx="3">
                  <c:v>23.4</c:v>
                </c:pt>
                <c:pt idx="4">
                  <c:v>23.4</c:v>
                </c:pt>
                <c:pt idx="5">
                  <c:v>24.66</c:v>
                </c:pt>
              </c:numCache>
            </c:numRef>
          </c:val>
          <c:extLst>
            <c:ext xmlns:c16="http://schemas.microsoft.com/office/drawing/2014/chart" uri="{C3380CC4-5D6E-409C-BE32-E72D297353CC}">
              <c16:uniqueId val="{00000006-DCD8-4C81-A46D-B0AFC1EAE687}"/>
            </c:ext>
          </c:extLst>
        </c:ser>
        <c:dLbls>
          <c:dLblPos val="outEnd"/>
          <c:showLegendKey val="0"/>
          <c:showVal val="1"/>
          <c:showCatName val="0"/>
          <c:showSerName val="0"/>
          <c:showPercent val="0"/>
          <c:showBubbleSize val="0"/>
        </c:dLbls>
        <c:gapWidth val="100"/>
        <c:overlap val="-24"/>
        <c:axId val="799553056"/>
        <c:axId val="807840072"/>
      </c:barChart>
      <c:catAx>
        <c:axId val="799553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072"/>
        <c:crosses val="autoZero"/>
        <c:auto val="1"/>
        <c:lblAlgn val="ctr"/>
        <c:lblOffset val="100"/>
        <c:tickLblSkip val="1"/>
        <c:tickMarkSkip val="1"/>
        <c:noMultiLvlLbl val="0"/>
      </c:catAx>
      <c:valAx>
        <c:axId val="807840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datelor'!$G$127</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52EC-4BDC-81F0-2E469D21FB78}"/>
              </c:ext>
            </c:extLst>
          </c:dPt>
          <c:dLbls>
            <c:delete val="1"/>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datelor'!$H$127:$S$127</c:f>
              <c:numCache>
                <c:formatCode>0.00</c:formatCode>
                <c:ptCount val="12"/>
                <c:pt idx="0">
                  <c:v>0</c:v>
                </c:pt>
                <c:pt idx="1">
                  <c:v>9.69</c:v>
                </c:pt>
                <c:pt idx="2">
                  <c:v>9.69</c:v>
                </c:pt>
                <c:pt idx="3">
                  <c:v>9.6199999999999992</c:v>
                </c:pt>
                <c:pt idx="4">
                  <c:v>9.6199999999999992</c:v>
                </c:pt>
                <c:pt idx="5">
                  <c:v>9.5500000000000007</c:v>
                </c:pt>
                <c:pt idx="6">
                  <c:v>9.5500000000000007</c:v>
                </c:pt>
              </c:numCache>
            </c:numRef>
          </c:val>
          <c:extLst>
            <c:ext xmlns:c16="http://schemas.microsoft.com/office/drawing/2014/chart" uri="{C3380CC4-5D6E-409C-BE32-E72D297353CC}">
              <c16:uniqueId val="{00000002-52EC-4BDC-81F0-2E469D21FB78}"/>
            </c:ext>
          </c:extLst>
        </c:ser>
        <c:ser>
          <c:idx val="2"/>
          <c:order val="1"/>
          <c:tx>
            <c:strRef>
              <c:f>'Introducerea datelor'!$G$128</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datelor'!$H$128:$S$128</c:f>
              <c:numCache>
                <c:formatCode>0.00</c:formatCode>
                <c:ptCount val="12"/>
                <c:pt idx="0">
                  <c:v>14.32</c:v>
                </c:pt>
                <c:pt idx="1">
                  <c:v>0</c:v>
                </c:pt>
                <c:pt idx="2">
                  <c:v>16.010000000000002</c:v>
                </c:pt>
                <c:pt idx="3">
                  <c:v>0</c:v>
                </c:pt>
                <c:pt idx="4">
                  <c:v>15.71</c:v>
                </c:pt>
                <c:pt idx="5" formatCode="0.00%">
                  <c:v>0</c:v>
                </c:pt>
              </c:numCache>
            </c:numRef>
          </c:val>
          <c:extLst>
            <c:ext xmlns:c16="http://schemas.microsoft.com/office/drawing/2014/chart" uri="{C3380CC4-5D6E-409C-BE32-E72D297353CC}">
              <c16:uniqueId val="{00000005-52EC-4BDC-81F0-2E469D21FB78}"/>
            </c:ext>
          </c:extLst>
        </c:ser>
        <c:dLbls>
          <c:dLblPos val="outEnd"/>
          <c:showLegendKey val="0"/>
          <c:showVal val="1"/>
          <c:showCatName val="0"/>
          <c:showSerName val="0"/>
          <c:showPercent val="0"/>
          <c:showBubbleSize val="0"/>
        </c:dLbls>
        <c:gapWidth val="100"/>
        <c:overlap val="-24"/>
        <c:axId val="807840856"/>
        <c:axId val="807841248"/>
      </c:barChart>
      <c:catAx>
        <c:axId val="807840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1248"/>
        <c:crosses val="autoZero"/>
        <c:auto val="1"/>
        <c:lblAlgn val="ctr"/>
        <c:lblOffset val="100"/>
        <c:tickLblSkip val="1"/>
        <c:tickMarkSkip val="1"/>
        <c:noMultiLvlLbl val="0"/>
      </c:catAx>
      <c:valAx>
        <c:axId val="80784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0"/>
          <c:order val="0"/>
          <c:tx>
            <c:strRef>
              <c:f>'Introducerea datelor'!$G$122</c:f>
              <c:strCache>
                <c:ptCount val="1"/>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elete val="1"/>
          </c:dLbls>
          <c:val>
            <c:numRef>
              <c:f>'Introducerea datelor'!$H$122:$S$122</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D6C-4DE1-9468-E65DE69FFA0B}"/>
            </c:ext>
          </c:extLst>
        </c:ser>
        <c:ser>
          <c:idx val="1"/>
          <c:order val="1"/>
          <c:tx>
            <c:strRef>
              <c:f>'Introducerea datelor'!$G$123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ED6C-4DE1-9468-E65DE69FFA0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datelor'!$H$123:$S$123</c:f>
              <c:numCache>
                <c:formatCode>0.0</c:formatCode>
                <c:ptCount val="12"/>
                <c:pt idx="0">
                  <c:v>7.2</c:v>
                </c:pt>
                <c:pt idx="1">
                  <c:v>5.8</c:v>
                </c:pt>
                <c:pt idx="2">
                  <c:v>5.8</c:v>
                </c:pt>
                <c:pt idx="3">
                  <c:v>5</c:v>
                </c:pt>
                <c:pt idx="4">
                  <c:v>5</c:v>
                </c:pt>
                <c:pt idx="5">
                  <c:v>4.3</c:v>
                </c:pt>
                <c:pt idx="6">
                  <c:v>4.3</c:v>
                </c:pt>
              </c:numCache>
            </c:numRef>
          </c:val>
          <c:extLst>
            <c:ext xmlns:c16="http://schemas.microsoft.com/office/drawing/2014/chart" uri="{C3380CC4-5D6E-409C-BE32-E72D297353CC}">
              <c16:uniqueId val="{0000000B-ED6C-4DE1-9468-E65DE69FFA0B}"/>
            </c:ext>
          </c:extLst>
        </c:ser>
        <c:ser>
          <c:idx val="2"/>
          <c:order val="2"/>
          <c:tx>
            <c:strRef>
              <c:f>'Introducerea datelor'!$G$124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datelor'!$H$124:$S$124</c:f>
              <c:numCache>
                <c:formatCode>0.00</c:formatCode>
                <c:ptCount val="12"/>
                <c:pt idx="0">
                  <c:v>3.6</c:v>
                </c:pt>
                <c:pt idx="1">
                  <c:v>4.87</c:v>
                </c:pt>
                <c:pt idx="2">
                  <c:v>4.87</c:v>
                </c:pt>
                <c:pt idx="3">
                  <c:v>5.19</c:v>
                </c:pt>
                <c:pt idx="4">
                  <c:v>5.19</c:v>
                </c:pt>
                <c:pt idx="5">
                  <c:v>4.7</c:v>
                </c:pt>
              </c:numCache>
            </c:numRef>
          </c:val>
          <c:extLst>
            <c:ext xmlns:c16="http://schemas.microsoft.com/office/drawing/2014/chart" uri="{C3380CC4-5D6E-409C-BE32-E72D297353CC}">
              <c16:uniqueId val="{00000002-53B1-4744-BBDB-7F8F6A129AAC}"/>
            </c:ext>
          </c:extLst>
        </c:ser>
        <c:dLbls>
          <c:dLblPos val="outEnd"/>
          <c:showLegendKey val="0"/>
          <c:showVal val="1"/>
          <c:showCatName val="0"/>
          <c:showSerName val="0"/>
          <c:showPercent val="0"/>
          <c:showBubbleSize val="0"/>
        </c:dLbls>
        <c:gapWidth val="100"/>
        <c:overlap val="-24"/>
        <c:axId val="646584552"/>
        <c:axId val="646584944"/>
      </c:barChart>
      <c:catAx>
        <c:axId val="646584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944"/>
        <c:crosses val="autoZero"/>
        <c:auto val="1"/>
        <c:lblAlgn val="ctr"/>
        <c:lblOffset val="100"/>
        <c:tickLblSkip val="1"/>
        <c:tickMarkSkip val="1"/>
        <c:noMultiLvlLbl val="0"/>
      </c:catAx>
      <c:valAx>
        <c:axId val="646584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datelor'!$G$131</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datelor'!$H$131:$S$131</c:f>
            </c:numRef>
          </c:val>
          <c:extLst>
            <c:ext xmlns:c16="http://schemas.microsoft.com/office/drawing/2014/chart" uri="{C3380CC4-5D6E-409C-BE32-E72D297353CC}">
              <c16:uniqueId val="{00000002-AB67-4507-9DCD-77920C14C072}"/>
            </c:ext>
          </c:extLst>
        </c:ser>
        <c:ser>
          <c:idx val="2"/>
          <c:order val="1"/>
          <c:tx>
            <c:strRef>
              <c:f>'Introducerea datelor'!$G$132</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datelor'!$H$132:$S$132</c:f>
            </c:numRef>
          </c:val>
          <c:extLst>
            <c:ext xmlns:c16="http://schemas.microsoft.com/office/drawing/2014/chart" uri="{C3380CC4-5D6E-409C-BE32-E72D297353CC}">
              <c16:uniqueId val="{00000005-AB67-4507-9DCD-77920C14C072}"/>
            </c:ext>
          </c:extLst>
        </c:ser>
        <c:dLbls>
          <c:dLblPos val="outEnd"/>
          <c:showLegendKey val="0"/>
          <c:showVal val="1"/>
          <c:showCatName val="0"/>
          <c:showSerName val="0"/>
          <c:showPercent val="0"/>
          <c:showBubbleSize val="0"/>
        </c:dLbls>
        <c:gapWidth val="100"/>
        <c:overlap val="-24"/>
        <c:axId val="646585728"/>
        <c:axId val="523898240"/>
      </c:barChart>
      <c:catAx>
        <c:axId val="646585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8240"/>
        <c:crosses val="autoZero"/>
        <c:auto val="1"/>
        <c:lblAlgn val="ctr"/>
        <c:lblOffset val="100"/>
        <c:tickLblSkip val="1"/>
        <c:tickMarkSkip val="1"/>
        <c:noMultiLvlLbl val="0"/>
      </c:catAx>
      <c:valAx>
        <c:axId val="52389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datelor'!$H$133:$S$133</c:f>
            </c:numRef>
          </c:val>
          <c:extLst>
            <c:ext xmlns:c16="http://schemas.microsoft.com/office/drawing/2014/chart" uri="{C3380CC4-5D6E-409C-BE32-E72D297353CC}">
              <c16:uniqueId val="{00000002-4350-409D-B5E1-D06548E981D0}"/>
            </c:ext>
          </c:extLst>
        </c:ser>
        <c:ser>
          <c:idx val="2"/>
          <c:order val="1"/>
          <c:tx>
            <c:strRef>
              <c:f>'Introducerea datelor'!$G$134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datelor'!$H$134:$S$134</c:f>
            </c:numRef>
          </c:val>
          <c:extLst>
            <c:ext xmlns:c16="http://schemas.microsoft.com/office/drawing/2014/chart" uri="{C3380CC4-5D6E-409C-BE32-E72D297353CC}">
              <c16:uniqueId val="{00000005-4350-409D-B5E1-D06548E981D0}"/>
            </c:ext>
          </c:extLst>
        </c:ser>
        <c:dLbls>
          <c:dLblPos val="outEnd"/>
          <c:showLegendKey val="0"/>
          <c:showVal val="1"/>
          <c:showCatName val="0"/>
          <c:showSerName val="0"/>
          <c:showPercent val="0"/>
          <c:showBubbleSize val="0"/>
        </c:dLbls>
        <c:gapWidth val="100"/>
        <c:overlap val="-24"/>
        <c:axId val="523899024"/>
        <c:axId val="523899416"/>
      </c:barChart>
      <c:catAx>
        <c:axId val="5238990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416"/>
        <c:crosses val="autoZero"/>
        <c:auto val="1"/>
        <c:lblAlgn val="ctr"/>
        <c:lblOffset val="100"/>
        <c:tickLblSkip val="1"/>
        <c:tickMarkSkip val="1"/>
        <c:noMultiLvlLbl val="0"/>
      </c:catAx>
      <c:valAx>
        <c:axId val="523899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datelor'!$H$129:$S$129</c:f>
            </c:numRef>
          </c:val>
          <c:extLst>
            <c:ext xmlns:c16="http://schemas.microsoft.com/office/drawing/2014/chart" uri="{C3380CC4-5D6E-409C-BE32-E72D297353CC}">
              <c16:uniqueId val="{00000005-45E1-4BA1-8735-4FFEBDCD01F4}"/>
            </c:ext>
          </c:extLst>
        </c:ser>
        <c:ser>
          <c:idx val="2"/>
          <c:order val="1"/>
          <c:tx>
            <c:strRef>
              <c:f>'Introducerea datelor'!$G$130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7-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datelor'!$H$130:$S$130</c:f>
            </c:numRef>
          </c:val>
          <c:extLst>
            <c:ext xmlns:c16="http://schemas.microsoft.com/office/drawing/2014/chart" uri="{C3380CC4-5D6E-409C-BE32-E72D297353CC}">
              <c16:uniqueId val="{00000008-45E1-4BA1-8735-4FFEBDCD01F4}"/>
            </c:ext>
          </c:extLst>
        </c:ser>
        <c:dLbls>
          <c:dLblPos val="outEnd"/>
          <c:showLegendKey val="0"/>
          <c:showVal val="1"/>
          <c:showCatName val="0"/>
          <c:showSerName val="0"/>
          <c:showPercent val="0"/>
          <c:showBubbleSize val="0"/>
        </c:dLbls>
        <c:gapWidth val="100"/>
        <c:overlap val="-24"/>
        <c:axId val="149082608"/>
        <c:axId val="149083000"/>
      </c:barChart>
      <c:catAx>
        <c:axId val="149082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3000"/>
        <c:crosses val="autoZero"/>
        <c:auto val="1"/>
        <c:lblAlgn val="ctr"/>
        <c:lblOffset val="100"/>
        <c:tickLblSkip val="1"/>
        <c:tickMarkSkip val="1"/>
        <c:noMultiLvlLbl val="0"/>
      </c:catAx>
      <c:valAx>
        <c:axId val="149083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1488326.86</c:v>
                </c:pt>
                <c:pt idx="1">
                  <c:v>4050294.59</c:v>
                </c:pt>
                <c:pt idx="2">
                  <c:v>7417028.4699999997</c:v>
                </c:pt>
                <c:pt idx="3">
                  <c:v>11515644.109999999</c:v>
                </c:pt>
                <c:pt idx="4">
                  <c:v>16831308.449999999</c:v>
                </c:pt>
                <c:pt idx="5">
                  <c:v>23492633.59</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5100114.6100000003</c:v>
                </c:pt>
                <c:pt idx="1">
                  <c:v>7384542.5800000001</c:v>
                </c:pt>
                <c:pt idx="2">
                  <c:v>9611824.5999999996</c:v>
                </c:pt>
                <c:pt idx="3">
                  <c:v>16428180.629999999</c:v>
                </c:pt>
                <c:pt idx="4">
                  <c:v>19563175.899999999</c:v>
                </c:pt>
                <c:pt idx="5">
                  <c:v>21454351.759999998</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149083784"/>
        <c:axId val="149084176"/>
      </c:areaChart>
      <c:catAx>
        <c:axId val="149083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49084176"/>
        <c:crosses val="autoZero"/>
        <c:auto val="1"/>
        <c:lblAlgn val="ctr"/>
        <c:lblOffset val="100"/>
        <c:tickLblSkip val="8"/>
        <c:tickMarkSkip val="1"/>
        <c:noMultiLvlLbl val="0"/>
      </c:catAx>
      <c:valAx>
        <c:axId val="1490841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908378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s://www.crwflags.com/fotw/images/m/md.gif"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hyperlink" Target="#Meniu!R1C1"/><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309562</xdr:colOff>
      <xdr:row>10</xdr:row>
      <xdr:rowOff>47625</xdr:rowOff>
    </xdr:from>
    <xdr:to>
      <xdr:col>6</xdr:col>
      <xdr:colOff>557212</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36937"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15</xdr:row>
      <xdr:rowOff>171450</xdr:rowOff>
    </xdr:from>
    <xdr:to>
      <xdr:col>6</xdr:col>
      <xdr:colOff>585787</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08362"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13</xdr:row>
      <xdr:rowOff>9525</xdr:rowOff>
    </xdr:from>
    <xdr:to>
      <xdr:col>6</xdr:col>
      <xdr:colOff>585787</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08362"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Detalii despre Grant</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Lista indicatorilor</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Introducerea datelor</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2</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142876</xdr:rowOff>
    </xdr:from>
    <xdr:to>
      <xdr:col>5</xdr:col>
      <xdr:colOff>838200</xdr:colOff>
      <xdr:row>32</xdr:row>
      <xdr:rowOff>337040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11</xdr:col>
      <xdr:colOff>0</xdr:colOff>
      <xdr:row>20</xdr:row>
      <xdr:rowOff>163286</xdr:rowOff>
    </xdr:to>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85724</xdr:rowOff>
    </xdr:from>
    <xdr:to>
      <xdr:col>6</xdr:col>
      <xdr:colOff>85725</xdr:colOff>
      <xdr:row>31</xdr:row>
      <xdr:rowOff>164051</xdr:rowOff>
    </xdr:to>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479534</xdr:colOff>
      <xdr:row>9</xdr:row>
      <xdr:rowOff>163285</xdr:rowOff>
    </xdr:from>
    <xdr:to>
      <xdr:col>12</xdr:col>
      <xdr:colOff>381000</xdr:colOff>
      <xdr:row>18</xdr:row>
      <xdr:rowOff>8283</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0</xdr:rowOff>
    </xdr:from>
    <xdr:to>
      <xdr:col>2</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619125</xdr:colOff>
      <xdr:row>9</xdr:row>
      <xdr:rowOff>85725</xdr:rowOff>
    </xdr:from>
    <xdr:to>
      <xdr:col>17</xdr:col>
      <xdr:colOff>2819400</xdr:colOff>
      <xdr:row>18</xdr:row>
      <xdr:rowOff>28575</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563217</xdr:colOff>
      <xdr:row>9</xdr:row>
      <xdr:rowOff>38757</xdr:rowOff>
    </xdr:from>
    <xdr:to>
      <xdr:col>6</xdr:col>
      <xdr:colOff>132521</xdr:colOff>
      <xdr:row>18</xdr:row>
      <xdr:rowOff>16565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405847</xdr:colOff>
      <xdr:row>20</xdr:row>
      <xdr:rowOff>54428</xdr:rowOff>
    </xdr:from>
    <xdr:to>
      <xdr:col>12</xdr:col>
      <xdr:colOff>513522</xdr:colOff>
      <xdr:row>27</xdr:row>
      <xdr:rowOff>190499</xdr:rowOff>
    </xdr:to>
    <xdr:graphicFrame macro="">
      <xdr:nvGraphicFramePr>
        <xdr:cNvPr id="12" name="Chart 33">
          <a:extLst>
            <a:ext uri="{FF2B5EF4-FFF2-40B4-BE49-F238E27FC236}">
              <a16:creationId xmlns:a16="http://schemas.microsoft.com/office/drawing/2014/main" id="{600152D3-84BF-42C4-A4A0-1A7AD4E5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687458</xdr:colOff>
      <xdr:row>19</xdr:row>
      <xdr:rowOff>1496785</xdr:rowOff>
    </xdr:from>
    <xdr:to>
      <xdr:col>17</xdr:col>
      <xdr:colOff>1741716</xdr:colOff>
      <xdr:row>28</xdr:row>
      <xdr:rowOff>54429</xdr:rowOff>
    </xdr:to>
    <xdr:graphicFrame macro="">
      <xdr:nvGraphicFramePr>
        <xdr:cNvPr id="13" name="Chart 488">
          <a:extLst>
            <a:ext uri="{FF2B5EF4-FFF2-40B4-BE49-F238E27FC236}">
              <a16:creationId xmlns:a16="http://schemas.microsoft.com/office/drawing/2014/main" id="{3E793879-612B-4A57-8549-3F75E34E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811696</xdr:colOff>
      <xdr:row>20</xdr:row>
      <xdr:rowOff>35615</xdr:rowOff>
    </xdr:from>
    <xdr:to>
      <xdr:col>6</xdr:col>
      <xdr:colOff>105959</xdr:colOff>
      <xdr:row>28</xdr:row>
      <xdr:rowOff>23134</xdr:rowOff>
    </xdr:to>
    <xdr:graphicFrame macro="">
      <xdr:nvGraphicFramePr>
        <xdr:cNvPr id="14" name="Chart 553">
          <a:extLst>
            <a:ext uri="{FF2B5EF4-FFF2-40B4-BE49-F238E27FC236}">
              <a16:creationId xmlns:a16="http://schemas.microsoft.com/office/drawing/2014/main" id="{DB6E02A6-3642-4C64-B3D9-062814B85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8839200" y="77089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9820275" y="77089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7708900"/>
          <a:ext cx="33718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77089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A010000}" name="Table1" displayName="Table1" ref="A1:G26" totalsRowShown="0" headerRowDxfId="53" headerRowBorderDxfId="52" tableBorderDxfId="51" totalsRowBorderDxfId="50">
  <autoFilter ref="A1:G26" xr:uid="{00000000-0009-0000-0100-000001000000}"/>
  <tableColumns count="7">
    <tableColumn id="7" xr3:uid="{00000000-0010-0000-3A01-000007000000}" name="N" dataDxfId="49"/>
    <tableColumn id="1" xr3:uid="{00000000-0010-0000-3A01-000001000000}" name="Column1" dataDxfId="48"/>
    <tableColumn id="2" xr3:uid="{00000000-0010-0000-3A01-000002000000}" name="Column2" dataDxfId="47"/>
    <tableColumn id="3" xr3:uid="{00000000-0010-0000-3A01-000003000000}" name="Indicator" dataDxfId="46"/>
    <tableColumn id="4" xr3:uid="{00000000-0010-0000-3A01-000004000000}" name="Definiție (conform Planului M&amp;E)" dataDxfId="45"/>
    <tableColumn id="5" xr3:uid="{00000000-0010-0000-3A01-000005000000}" name="Frecvența de colectare a datelor" dataDxfId="44"/>
    <tableColumn id="6" xr3:uid="{00000000-0010-0000-3A01-000006000000}" name="Sursa de date" dataDxfId="43"/>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election activeCell="H4" sqref="H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44" t="str">
        <f>+'Detalii despre Grant'!B3:J3</f>
        <v>Tabel Programatic de Evaluare:  Moldova - HIVAIDS / TB</v>
      </c>
      <c r="C2" s="544"/>
      <c r="D2" s="544"/>
      <c r="E2" s="544"/>
      <c r="F2" s="544"/>
      <c r="G2" s="544"/>
      <c r="H2" s="544"/>
      <c r="I2" s="544"/>
      <c r="J2" s="544"/>
      <c r="K2" s="544"/>
      <c r="L2" s="544"/>
      <c r="M2" s="1"/>
      <c r="N2" s="1"/>
      <c r="O2" s="1"/>
    </row>
    <row r="4" spans="2:15" ht="21">
      <c r="B4" s="545" t="str">
        <f>+IF('Introducerea datelor'!G6="Please Select", "",'Introducerea datelor'!G6) &amp;"  "&amp;+IF('Introducerea datelor'!G8="Please Select", "", 'Introducerea datelor'!G8&amp;",  ")&amp;+IF('Introducerea datelor'!I8="Please Select","",'Introducerea datelor'!I8)</f>
        <v xml:space="preserve">HIVAIDS / TB  </v>
      </c>
      <c r="C4" s="545"/>
      <c r="D4" s="545"/>
      <c r="E4" s="546"/>
      <c r="F4" s="111"/>
      <c r="G4" s="111"/>
      <c r="H4" s="110" t="str">
        <f>+'Introducerea datelor'!B6&amp;" "&amp;+'Introducerea datelor'!C6</f>
        <v>No. Grantului : MDA-C-PCIMU</v>
      </c>
      <c r="I4" s="110"/>
      <c r="J4" s="110"/>
      <c r="K4" s="111"/>
      <c r="L4" s="111"/>
    </row>
    <row r="22" spans="2:12" ht="26.25">
      <c r="B22" s="547" t="s">
        <v>270</v>
      </c>
      <c r="C22" s="548"/>
      <c r="D22" s="548"/>
      <c r="E22" s="548"/>
      <c r="F22" s="548"/>
      <c r="G22" s="548"/>
      <c r="H22" s="548"/>
      <c r="I22" s="548"/>
      <c r="J22" s="548"/>
      <c r="K22" s="548"/>
      <c r="L22" s="548"/>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2:O62"/>
  <sheetViews>
    <sheetView showGridLines="0" zoomScale="70" zoomScaleNormal="70" zoomScaleSheetLayoutView="70" workbookViewId="0">
      <pane ySplit="2" topLeftCell="A60" activePane="bottomLeft" state="frozen"/>
      <selection activeCell="E22" sqref="E22"/>
      <selection pane="bottomLeft" activeCell="D62" sqref="D62"/>
    </sheetView>
  </sheetViews>
  <sheetFormatPr defaultColWidth="11" defaultRowHeight="15"/>
  <cols>
    <col min="1" max="1" width="3.42578125" style="314" bestFit="1" customWidth="1"/>
    <col min="2" max="2" width="4" customWidth="1"/>
    <col min="3" max="3" width="78.42578125" customWidth="1"/>
    <col min="4" max="4" width="183.5703125" bestFit="1" customWidth="1"/>
    <col min="5" max="5" width="33" bestFit="1" customWidth="1"/>
    <col min="6" max="6" width="40.7109375" bestFit="1" customWidth="1"/>
    <col min="7" max="7" width="2.85546875" customWidth="1"/>
    <col min="8" max="8" width="3" customWidth="1"/>
    <col min="9" max="9" width="2.5703125" customWidth="1"/>
    <col min="10" max="10" width="16.140625" customWidth="1"/>
    <col min="11" max="11" width="13.7109375" customWidth="1"/>
    <col min="12" max="12" width="11.42578125" customWidth="1"/>
    <col min="13" max="13" width="14.85546875" customWidth="1"/>
    <col min="14" max="14" width="16" customWidth="1"/>
    <col min="15" max="15" width="11.42578125" hidden="1" customWidth="1"/>
    <col min="16" max="16" width="15.5703125" customWidth="1"/>
    <col min="17" max="17" width="11.42578125" customWidth="1"/>
    <col min="18" max="18" width="2.28515625" customWidth="1"/>
    <col min="19" max="19" width="1.140625" customWidth="1"/>
    <col min="20" max="20" width="3.28515625" customWidth="1"/>
    <col min="21" max="21" width="17" customWidth="1"/>
    <col min="22" max="22" width="15" customWidth="1"/>
    <col min="23" max="23" width="11.42578125" customWidth="1"/>
    <col min="24" max="24" width="13.5703125" customWidth="1"/>
    <col min="25" max="25" width="16.85546875" customWidth="1"/>
    <col min="26" max="26" width="11.42578125" customWidth="1"/>
    <col min="27" max="27" width="2" customWidth="1"/>
    <col min="28" max="28" width="3.28515625" customWidth="1"/>
    <col min="29" max="29" width="2.28515625" customWidth="1"/>
    <col min="30" max="30" width="40.7109375" customWidth="1"/>
    <col min="31" max="31" width="15.42578125" customWidth="1"/>
  </cols>
  <sheetData>
    <row r="2" spans="3:8" ht="28.5">
      <c r="C2" s="353" t="str">
        <f>+"Tabel Programatic de Evaluare: "&amp;" "&amp;+IF('Introducerea datelor'!C4="Please Select","",'Introducerea datelor'!C4&amp;" - ")&amp;+IF('Introducerea datelor'!G6="Please Select","",'Introducerea datelor'!G6)</f>
        <v>Tabel Programatic de Evaluare:  Moldova - HIVAIDS / TB</v>
      </c>
      <c r="D2" s="353"/>
      <c r="E2" s="353"/>
      <c r="F2" s="353"/>
    </row>
    <row r="3" spans="3:8" ht="28.5">
      <c r="C3" s="108"/>
      <c r="D3" s="108"/>
      <c r="E3" s="108"/>
    </row>
    <row r="5" spans="3:8" ht="23.25">
      <c r="C5" s="321" t="s">
        <v>223</v>
      </c>
      <c r="D5" s="321"/>
      <c r="E5" s="321"/>
      <c r="F5" s="321"/>
      <c r="G5" s="321"/>
      <c r="H5" s="321"/>
    </row>
    <row r="7" spans="3:8" ht="21">
      <c r="C7" s="354" t="s">
        <v>489</v>
      </c>
      <c r="D7" s="354" t="s">
        <v>213</v>
      </c>
      <c r="E7" s="354" t="s">
        <v>214</v>
      </c>
      <c r="F7" s="354" t="s">
        <v>248</v>
      </c>
      <c r="G7" s="355"/>
      <c r="H7" s="356"/>
    </row>
    <row r="8" spans="3:8" ht="85.5">
      <c r="C8" s="334" t="str">
        <f>+'Introducerea datelor'!B27</f>
        <v>F1: Bugetul și debursările de către Fondul Global</v>
      </c>
      <c r="D8" s="357" t="s">
        <v>266</v>
      </c>
      <c r="E8" s="331" t="s">
        <v>249</v>
      </c>
      <c r="F8" s="331" t="s">
        <v>267</v>
      </c>
      <c r="G8" s="332"/>
      <c r="H8" s="333"/>
    </row>
    <row r="9" spans="3:8" ht="71.25">
      <c r="C9" s="334" t="str">
        <f>+'Introducerea datelor'!B36</f>
        <v>F2: Bugetul și cheltuielile actuale după Obiectivele Grantului</v>
      </c>
      <c r="D9" s="352" t="s">
        <v>257</v>
      </c>
      <c r="E9" s="331" t="s">
        <v>251</v>
      </c>
      <c r="F9" s="331" t="s">
        <v>267</v>
      </c>
      <c r="G9" s="332"/>
      <c r="H9" s="333"/>
    </row>
    <row r="10" spans="3:8" ht="156.75">
      <c r="C10" s="334" t="str">
        <f>+'Introducerea datelor'!B55</f>
        <v>F3: Debursări și cheltuieli</v>
      </c>
      <c r="D10" s="352" t="s">
        <v>268</v>
      </c>
      <c r="E10" s="331" t="s">
        <v>258</v>
      </c>
      <c r="F10" s="331" t="s">
        <v>250</v>
      </c>
      <c r="G10" s="332"/>
      <c r="H10" s="333"/>
    </row>
    <row r="11" spans="3:8" ht="174.75">
      <c r="C11" s="334" t="str">
        <f>+'Introducerea datelor'!B64</f>
        <v xml:space="preserve">F4: Ultima perioadă de raportare și debursare a RP </v>
      </c>
      <c r="D11" s="352" t="s">
        <v>271</v>
      </c>
      <c r="E11" s="331" t="s">
        <v>259</v>
      </c>
      <c r="F11" s="331" t="s">
        <v>217</v>
      </c>
      <c r="G11" s="332"/>
      <c r="H11" s="333"/>
    </row>
    <row r="12" spans="3:8">
      <c r="C12" s="359"/>
      <c r="D12" s="358"/>
      <c r="E12" s="358"/>
      <c r="F12" s="358"/>
      <c r="G12" s="358"/>
      <c r="H12" s="358"/>
    </row>
    <row r="13" spans="3:8">
      <c r="D13" s="348"/>
      <c r="E13" s="348"/>
      <c r="F13" s="348"/>
      <c r="G13" s="348"/>
      <c r="H13" s="348"/>
    </row>
    <row r="14" spans="3:8">
      <c r="D14" s="348"/>
      <c r="E14" s="348"/>
      <c r="F14" s="348"/>
      <c r="G14" s="348"/>
      <c r="H14" s="348"/>
    </row>
    <row r="15" spans="3:8">
      <c r="D15" s="348"/>
      <c r="E15" s="348"/>
      <c r="F15" s="348"/>
      <c r="G15" s="348"/>
      <c r="H15" s="348"/>
    </row>
    <row r="16" spans="3:8" ht="23.25">
      <c r="C16" s="321" t="s">
        <v>224</v>
      </c>
      <c r="D16" s="321"/>
      <c r="E16" s="321"/>
      <c r="F16" s="321"/>
      <c r="G16" s="321"/>
      <c r="H16" s="321"/>
    </row>
    <row r="18" spans="2:8" ht="21">
      <c r="C18" s="349" t="s">
        <v>489</v>
      </c>
      <c r="D18" s="349" t="s">
        <v>213</v>
      </c>
      <c r="E18" s="349" t="s">
        <v>214</v>
      </c>
      <c r="F18" s="349" t="s">
        <v>215</v>
      </c>
      <c r="G18" s="350"/>
      <c r="H18" s="351"/>
    </row>
    <row r="19" spans="2:8" ht="99.75">
      <c r="C19" s="334" t="str">
        <f>+'Introducerea datelor'!B75</f>
        <v xml:space="preserve">M1: Statutul Condițiilor Precedente și a Acțiunilor Prestabilite în Timp </v>
      </c>
      <c r="D19" s="352" t="s">
        <v>222</v>
      </c>
      <c r="E19" s="331" t="s">
        <v>252</v>
      </c>
      <c r="F19" s="331" t="s">
        <v>253</v>
      </c>
      <c r="G19" s="332"/>
      <c r="H19" s="333"/>
    </row>
    <row r="20" spans="2:8" ht="43.5">
      <c r="C20" s="334" t="str">
        <f>+'Introducerea datelor'!B82</f>
        <v xml:space="preserve">M2: Statutul pozițiilor cheie a RP </v>
      </c>
      <c r="D20" s="352" t="s">
        <v>269</v>
      </c>
      <c r="E20" s="331" t="s">
        <v>219</v>
      </c>
      <c r="F20" s="331" t="s">
        <v>218</v>
      </c>
      <c r="G20" s="332"/>
      <c r="H20" s="333"/>
    </row>
    <row r="21" spans="2:8" ht="102.75">
      <c r="C21" s="334" t="str">
        <f>+'Introducerea datelor'!B87</f>
        <v xml:space="preserve">M3: Aranjamente contractuale (SR) </v>
      </c>
      <c r="D21" s="331" t="s">
        <v>0</v>
      </c>
      <c r="E21" s="331" t="s">
        <v>254</v>
      </c>
      <c r="F21" s="331" t="s">
        <v>255</v>
      </c>
      <c r="G21" s="332"/>
      <c r="H21" s="333"/>
    </row>
    <row r="22" spans="2:8" ht="42.75">
      <c r="C22" s="334" t="str">
        <f>+'Introducerea datelor'!B92</f>
        <v>M4: Numărul rapoartelor complete recepționate la timp</v>
      </c>
      <c r="D22" s="331" t="s">
        <v>272</v>
      </c>
      <c r="E22" s="331" t="s">
        <v>260</v>
      </c>
      <c r="F22" s="331" t="s">
        <v>220</v>
      </c>
      <c r="G22" s="332"/>
      <c r="H22" s="333"/>
    </row>
    <row r="23" spans="2:8" ht="102.75">
      <c r="C23" s="339" t="str">
        <f>+'Introducerea datelor'!B98</f>
        <v xml:space="preserve">M5: Bugetul și Procurarea produselor medicale, echipamentului medical, medicamentelor și produselor farmaceutice </v>
      </c>
      <c r="D23" s="330" t="s">
        <v>261</v>
      </c>
      <c r="E23" s="342" t="s">
        <v>216</v>
      </c>
      <c r="F23" s="342" t="s">
        <v>221</v>
      </c>
      <c r="G23" s="343"/>
      <c r="H23" s="344"/>
    </row>
    <row r="24" spans="2:8" ht="29.25">
      <c r="C24" s="340"/>
      <c r="D24" s="341" t="s">
        <v>256</v>
      </c>
      <c r="E24" s="345"/>
      <c r="F24" s="345"/>
      <c r="G24" s="346"/>
      <c r="H24" s="347"/>
    </row>
    <row r="25" spans="2:8" ht="142.5">
      <c r="C25" s="334" t="str">
        <f>+'Introducerea datelor'!B111</f>
        <v>M6: Diferență între stocul curent și stocul de siguranță</v>
      </c>
      <c r="D25" s="335" t="s">
        <v>273</v>
      </c>
      <c r="E25" s="336" t="s">
        <v>262</v>
      </c>
      <c r="F25" s="336" t="s">
        <v>263</v>
      </c>
      <c r="G25" s="337"/>
      <c r="H25" s="338"/>
    </row>
    <row r="29" spans="2:8" ht="18.75">
      <c r="C29" s="121"/>
    </row>
    <row r="30" spans="2:8" ht="23.25">
      <c r="C30" s="321" t="s">
        <v>402</v>
      </c>
      <c r="D30" s="321"/>
      <c r="E30" s="321"/>
      <c r="F30" s="321"/>
      <c r="G30" s="321"/>
      <c r="H30" s="321"/>
    </row>
    <row r="32" spans="2:8" ht="15.75">
      <c r="B32" s="118"/>
      <c r="C32" s="322" t="s">
        <v>247</v>
      </c>
      <c r="D32" s="323" t="s">
        <v>421</v>
      </c>
      <c r="E32" s="315" t="s">
        <v>395</v>
      </c>
      <c r="F32" s="315" t="s">
        <v>396</v>
      </c>
      <c r="G32" s="316"/>
      <c r="H32" s="317"/>
    </row>
    <row r="33" spans="1:8" ht="28.5">
      <c r="A33" s="314">
        <v>1</v>
      </c>
      <c r="B33" s="549" t="s">
        <v>417</v>
      </c>
      <c r="C33" s="298" t="str">
        <f>IFERROR(VLOOKUP(A33,Table1[],4,0),"")</f>
        <v>TB I-3(M): Rata mortalităţii prin TB la 100,000 populație</v>
      </c>
      <c r="D33" s="304" t="str">
        <f>IFERROR(VLOOKUP(A33,Table1[],5,0),"")</f>
        <v xml:space="preserve">Numărător: Numărul de decese cauzate de TB (toate formele) la persoanele HIV-negative, pe an, la 100,000 populație                                                                                                                                                     Numitor: Numărul total al populației în țară x 100,000 </v>
      </c>
      <c r="E33" s="299" t="str">
        <f>IFERROR(VLOOKUP(A33,Table1[],6,0),"")</f>
        <v xml:space="preserve">Colectat anual </v>
      </c>
      <c r="F33" s="299" t="str">
        <f>IFERROR(VLOOKUP(A33,Table1[],7,0),"")</f>
        <v>Sistemul R&amp;R TB/ Rapoarte anuale/ SYME TB</v>
      </c>
      <c r="G33" s="302"/>
      <c r="H33" s="303"/>
    </row>
    <row r="34" spans="1:8" ht="30">
      <c r="A34" s="314">
        <v>2</v>
      </c>
      <c r="B34" s="549"/>
      <c r="C34" s="298" t="str">
        <f>IFERROR(VLOOKUP(A34,Table1[],4,0),"")</f>
        <v xml:space="preserve">TB I-4(M): Prevalența RR-TB și/sau MDR-TB printre cazurile noi de tuberculoză </v>
      </c>
      <c r="D34" s="304" t="str">
        <f>IFERROR(VLOOKUP(A34,Indicatori!$A$2:$E$26,5,0),"")</f>
        <v>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v>
      </c>
      <c r="E34" s="299" t="str">
        <f>IFERROR(VLOOKUP(A34,Table1[],6,0),"")</f>
        <v xml:space="preserve">Colectat anual </v>
      </c>
      <c r="F34" s="299" t="str">
        <f>IFERROR(VLOOKUP(A34,Table1[],7,0),"")</f>
        <v>Sistemul R&amp;R TB/ Rapoarte anuale/ SYME TB</v>
      </c>
      <c r="G34" s="307"/>
      <c r="H34" s="308"/>
    </row>
    <row r="35" spans="1:8" ht="42.75">
      <c r="A35" s="314">
        <v>3</v>
      </c>
      <c r="B35" s="549"/>
      <c r="C35" s="298" t="str">
        <f>IFERROR(VLOOKUP(A35,Table1[],4,0),"")</f>
        <v>HIV I-4: Mortalitatea asociată cu SIDA la 100,000 populaţie</v>
      </c>
      <c r="D35" s="304" t="str">
        <f>IFERROR(VLOOKUP(A35,Indicatori!$A$2:$E$26,5,0),"")</f>
        <v xml:space="preserve">Numărător: Numărul estimat de decese cauzate de HIV/ SIDA, într-o anumită perioadă de timp           Numitor: Numărul total al populației indiferent de statutul HIV (per 100 000 persoane)                                              
                                </v>
      </c>
      <c r="E35" s="299" t="str">
        <f>IFERROR(VLOOKUP(A35,Table1[],6,0),"")</f>
        <v xml:space="preserve">Colectat anual </v>
      </c>
      <c r="F35" s="299" t="str">
        <f>IFERROR(VLOOKUP(A35,Table1[],7,0),"")</f>
        <v xml:space="preserve">Estimări SPECTRUM
</v>
      </c>
      <c r="G35" s="305"/>
      <c r="H35" s="306"/>
    </row>
    <row r="36" spans="1:8" ht="71.25">
      <c r="A36" s="314">
        <v>4</v>
      </c>
      <c r="B36" s="549"/>
      <c r="C36" s="298" t="str">
        <f>IFERROR(VLOOKUP(A36,Table1[],4,0),"")</f>
        <v xml:space="preserve">HIV I-9a⁽ᴹ⁾: Procentul BSB care trăiesc cu HIV </v>
      </c>
      <c r="D36" s="304" t="str">
        <f>IFERROR(VLOOKUP(A36,Indicatori!$A$2:$E$26,5,0),"")</f>
        <v>Numărător: Numărul de BSB care au rezultat HIV pozitiv                                                                                                             Numitor: Numărul de BSB testați pentru HIV</v>
      </c>
      <c r="E36" s="299" t="str">
        <f>IFERROR(VLOOKUP(A36,Table1[],6,0),"")</f>
        <v>Studiu Integrat Bio-Comportamental (IBBS)</v>
      </c>
      <c r="F36" s="299" t="str">
        <f>IFERROR(VLOOKUP(A36,Table1[],7,0),"")</f>
        <v xml:space="preserve">
Următorul IBBS urmează a fi realizat în a. 2024 (în afara perioadei curente de implementare)
</v>
      </c>
      <c r="G36" s="305"/>
      <c r="H36" s="306"/>
    </row>
    <row r="37" spans="1:8" ht="71.25">
      <c r="A37" s="314">
        <v>5</v>
      </c>
      <c r="B37" s="549"/>
      <c r="C37" s="298" t="str">
        <f>IFERROR(VLOOKUP(A37,Table1[],4,0),"")</f>
        <v>HIV I-10⁽ᴹ⁾: Procentul LS care trăiesc cu HIV</v>
      </c>
      <c r="D37" s="304" t="str">
        <f>IFERROR(VLOOKUP(A37,Indicatori!$A$2:$E$26,5,0),"")</f>
        <v xml:space="preserve">Numărător: Numărul de LS care au rezultat HIV pozitiv                                                                                                             Numitor: Numărul de LS testați pentru HIV                                                                       </v>
      </c>
      <c r="E37" s="299" t="str">
        <f>IFERROR(VLOOKUP(A37,Table1[],6,0),"")</f>
        <v>Studiu Integrat Bio-Comportamental (IBBS)</v>
      </c>
      <c r="F37" s="299" t="str">
        <f>IFERROR(VLOOKUP(A37,Table1[],7,0),"")</f>
        <v xml:space="preserve">
Următorul IBBS urmează a fi realizat în a. 2024 (în afara perioadei curente de implementare)
</v>
      </c>
      <c r="G37" s="305"/>
      <c r="H37" s="306"/>
    </row>
    <row r="38" spans="1:8" ht="71.25">
      <c r="A38" s="314">
        <v>6</v>
      </c>
      <c r="B38" s="549"/>
      <c r="C38" s="298" t="str">
        <f>IFERROR(VLOOKUP(A38,Table1[],4,0),"")</f>
        <v>HIV I-11⁽ᴹ⁾: Procentul persoanelor consumatoare de droguri injectabile care trăiesc cu HIV</v>
      </c>
      <c r="D38" s="304" t="str">
        <f>IFERROR(VLOOKUP(A38,Indicatori!$A$2:$E$26,5,0),"")</f>
        <v>Numărător: Numărul de PCDI care au rezultat HIV pozitiv                                                                                                             Numitor: Numărul de PCDI testate pentru HIV</v>
      </c>
      <c r="E38" s="299" t="str">
        <f>IFERROR(VLOOKUP(A38,Table1[],6,0),"")</f>
        <v>Studiu Integrat Bio-Comportamental (IBBS)</v>
      </c>
      <c r="F38" s="299" t="str">
        <f>IFERROR(VLOOKUP(A38,Table1[],7,0),"")</f>
        <v xml:space="preserve">
Următorul IBBS urmează a fi realizat în a. 2024 (în afara perioadei curente de implementare)
</v>
      </c>
      <c r="G38" s="305"/>
      <c r="H38" s="306"/>
    </row>
    <row r="39" spans="1:8" ht="15.75">
      <c r="B39" s="119"/>
      <c r="C39" s="322" t="str">
        <f>IFERROR(VLOOKUP(A39,Table1[],4,0),"")</f>
        <v/>
      </c>
      <c r="D39" s="323" t="str">
        <f>IFERROR(VLOOKUP(A39,Indicatori!$A$2:$E$26,5,0),"")</f>
        <v/>
      </c>
      <c r="E39" s="315" t="str">
        <f>IFERROR(VLOOKUP(A39,Table1[],6,0),"")</f>
        <v/>
      </c>
      <c r="F39" s="315" t="str">
        <f>IFERROR(VLOOKUP(A39,Table1[],7,0),"")</f>
        <v/>
      </c>
      <c r="G39" s="316"/>
      <c r="H39" s="317"/>
    </row>
    <row r="40" spans="1:8" ht="30">
      <c r="A40" s="314">
        <v>7</v>
      </c>
      <c r="B40" s="549" t="s">
        <v>418</v>
      </c>
      <c r="C40" s="298" t="str">
        <f>IFERROR(VLOOKUP(A40,Table1[],4,0),"")</f>
        <v>TB O-4(M): Rata succesului tratamentului pacienților cu RR TB și/sau MDR-TB</v>
      </c>
      <c r="D40" s="304" t="str">
        <f>IFERROR(VLOOKUP(A40,Indicatori!$A$2:$E$26,5,0),"")</f>
        <v>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v>
      </c>
      <c r="E40" s="299" t="str">
        <f>IFERROR(VLOOKUP(A40,Table1[],6,0),"")</f>
        <v xml:space="preserve">Colectat anual </v>
      </c>
      <c r="F40" s="299" t="str">
        <f>IFERROR(VLOOKUP(A40,Table1[],7,0),"")</f>
        <v>Sistemul R&amp;R TB/ Rapoarte anuale/ SYME TB</v>
      </c>
      <c r="G40" s="302"/>
      <c r="H40" s="303"/>
    </row>
    <row r="41" spans="1:8" ht="42.75">
      <c r="A41" s="314">
        <v>8</v>
      </c>
      <c r="B41" s="549"/>
      <c r="C41" s="298" t="str">
        <f>IFERROR(VLOOKUP(A41,Table1[],4,0),"")</f>
        <v>TB O-5(M): Rata de acoperire cu tratament antituberculos</v>
      </c>
      <c r="D41" s="304" t="str">
        <f>IFERROR(VLOOKUP(A41,Indicatori!$A$2:$E$26,5,0),"")</f>
        <v>Numărător: Numărul de cazuri noi și recidive notificate și acoperite cu tratament,  într-o anumită perioadă
Numitor: Numărul estimat de cazuri TB din același an (toate formele TB - bacteriologic confirmate și diagnosticate clinic)</v>
      </c>
      <c r="E41" s="299" t="str">
        <f>IFERROR(VLOOKUP(A41,Table1[],6,0),"")</f>
        <v xml:space="preserve">Colectat anual </v>
      </c>
      <c r="F41" s="299" t="str">
        <f>IFERROR(VLOOKUP(A41,Table1[],7,0),"")</f>
        <v>Raportul anual al OMS (WHO Global TB)</v>
      </c>
      <c r="G41" s="302"/>
      <c r="H41" s="303"/>
    </row>
    <row r="42" spans="1:8" ht="42.75">
      <c r="A42" s="314">
        <v>9</v>
      </c>
      <c r="B42" s="549"/>
      <c r="C42" s="298" t="str">
        <f>IFERROR(VLOOKUP(A42,Table1[],4,0),"")</f>
        <v>HIV O-4a⁽ᴹ⁾: Procentul BSB care raportează utilizarea prezervativului în timpul ultimului act de sex anal cu un partener de sex masculin</v>
      </c>
      <c r="D42" s="304" t="str">
        <f>IFERROR(VLOOKUP(A42,Indicatori!$A$2:$E$26,5,0),"")</f>
        <v>Numărător: Numărul de BSB care au raportat utilizarea prezervativului, în timpul ultimului act de sex anal cu un partener ocazional, în ultimele 6 luni                                                                                                  Numitor: Numărul de BSB care au raportat practicarea sexului anal cu un partener de sex masculin, în ultimele 6 luni</v>
      </c>
      <c r="E42" s="299" t="str">
        <f>IFERROR(VLOOKUP(A42,Table1[],6,0),"")</f>
        <v>Studiu Integrat Bio-Comportamental (IBBS)</v>
      </c>
      <c r="F42" s="299" t="str">
        <f>IFERROR(VLOOKUP(A42,Table1[],7,0),"")</f>
        <v>Următorul IBBS urmează a fi realizat în a. 2024 (în afara perioadei curente de implementare)</v>
      </c>
      <c r="G42" s="302"/>
      <c r="H42" s="301"/>
    </row>
    <row r="43" spans="1:8" ht="42.75">
      <c r="A43" s="314">
        <v>10</v>
      </c>
      <c r="B43" s="549"/>
      <c r="C43" s="298" t="str">
        <f>IFERROR(VLOOKUP(A43,Table1[],4,0),"")</f>
        <v>HIV O-5⁽ᴹ⁾: Procentul LS care raportează utilizarea prezervativului cu ultimul lor client</v>
      </c>
      <c r="D43" s="304" t="str">
        <f>IFERROR(VLOOKUP(A43,Indicatori!$A$2:$E$26,5,0),"")</f>
        <v>Numărător: Numărul de LS care au raportat utilizarea prezervativului cu ultimul lor client
Numitor: Numărul de LS care au raportat practicarea sexului comercial în ultimele 12 luni</v>
      </c>
      <c r="E43" s="299" t="str">
        <f>IFERROR(VLOOKUP(A43,Table1[],6,0),"")</f>
        <v>Studiu Integrat Bio-Comportamental (IBBS)</v>
      </c>
      <c r="F43" s="299" t="str">
        <f>IFERROR(VLOOKUP(A43,Table1[],7,0),"")</f>
        <v>Următorul IBBS urmează a fi realizat în a. 2024 (în afara perioadei curente de implementare)</v>
      </c>
      <c r="G43" s="300"/>
      <c r="H43" s="301"/>
    </row>
    <row r="44" spans="1:8" ht="42.75">
      <c r="A44" s="314">
        <v>11</v>
      </c>
      <c r="B44" s="549"/>
      <c r="C44" s="298" t="str">
        <f>IFERROR(VLOOKUP(A44,Table1[],4,0),"")</f>
        <v>HIV O-6⁽ᴹ⁾: Procentul PCDI care raportează utilizarea setului pentru injectare steril la ultima lor injectare</v>
      </c>
      <c r="D44" s="304" t="str">
        <f>IFERROR(VLOOKUP(A44,Indicatori!$A$2:$E$26,5,0),"")</f>
        <v>Numărător: Numărul de PCDI care au raportat utilizarea setului pentru injectare steril, la ultima consumare de droguri injectabile
Numitor: Numărul de PCDI care au raportat consumarea de droguri injectabile în ultima lună</v>
      </c>
      <c r="E44" s="299" t="str">
        <f>IFERROR(VLOOKUP(A44,Table1[],6,0),"")</f>
        <v>Studiu Integrat Bio-Comportamental (IBBS)</v>
      </c>
      <c r="F44" s="299" t="str">
        <f>IFERROR(VLOOKUP(A44,Table1[],7,0),"")</f>
        <v>Următorul IBBS urmează a fi realizat în a. 2024 (în afara perioadei curente de implementare)</v>
      </c>
      <c r="G44" s="300"/>
      <c r="H44" s="301"/>
    </row>
    <row r="45" spans="1:8" ht="30">
      <c r="A45" s="314">
        <v>12</v>
      </c>
      <c r="B45" s="549"/>
      <c r="C45" s="298" t="str">
        <f>IFERROR(VLOOKUP(A45,Table1[],4,0),"")</f>
        <v>HIV O-11⁽ᴹ⁾: Procentul PTH care își cunosc statutul HIV la sfîrșitul perioadei de raportare</v>
      </c>
      <c r="D45" s="304" t="str">
        <f>IFERROR(VLOOKUP(A45,Indicatori!$A$2:$E$26,5,0),"")</f>
        <v xml:space="preserve">Numărător: Numărul persoanelor care trăiesc cu HIV, care își cunosc statutul HIV                                                                                 Numitor: Numărul estimat al persoanelor care trăiesc cu HIV (date - generate de SPECTRUM)                 </v>
      </c>
      <c r="E45" s="299" t="str">
        <f>IFERROR(VLOOKUP(A45,Table1[],6,0),"")</f>
        <v xml:space="preserve">Colectat anual </v>
      </c>
      <c r="F45" s="299" t="str">
        <f>IFERROR(VLOOKUP(A45,Table1[],7,0),"")</f>
        <v>Registru pacienți HIV/ Estimări SPECTRUM</v>
      </c>
      <c r="G45" s="300"/>
      <c r="H45" s="301"/>
    </row>
    <row r="46" spans="1:8" ht="71.25">
      <c r="A46" s="314">
        <v>13</v>
      </c>
      <c r="B46" s="361"/>
      <c r="C46" s="298" t="str">
        <f>IFERROR(VLOOKUP(A46,Table1[],4,0),"")</f>
        <v>HIV O-12: Procentul PTH aflați în tratament ARV, care prezintă supresie virală</v>
      </c>
      <c r="D46" s="304" t="str">
        <f>IFERROR(VLOOKUP(A46,Indicatori!$A$2:$E$26,5,0),"")</f>
        <v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v>
      </c>
      <c r="E46" s="299" t="str">
        <f>IFERROR(VLOOKUP(A46,Table1[],6,0),"")</f>
        <v xml:space="preserve">Colectat anual </v>
      </c>
      <c r="F46" s="299" t="str">
        <f>IFERROR(VLOOKUP(A46,Table1[],7,0),"")</f>
        <v xml:space="preserve">Estimări SPECTRUM/ Registru pacienți TARV </v>
      </c>
      <c r="G46" s="300"/>
      <c r="H46" s="301"/>
    </row>
    <row r="47" spans="1:8" ht="45">
      <c r="A47" s="314">
        <v>14</v>
      </c>
      <c r="B47" s="361"/>
      <c r="C47" s="298" t="str">
        <f>IFERROR(VLOOKUP(A47,Table1[],4,0),"")</f>
        <v xml:space="preserve">TCP-1⁽ᴹ⁾: Numărul cazurilor de tuberculoză, toate formele (bacteriologic confirmate și diagnosticate clinic, cazuri noi și recidive) notificate către autoritatea națională, într-o perioadă anumită de timp </v>
      </c>
      <c r="D47" s="304" t="str">
        <f>IFERROR(VLOOKUP(A47,Indicatori!$A$2:$E$26,5,0),"")</f>
        <v xml:space="preserve">Numărător: Numărul cazurilor de tuberculoză, toate formele (bacteriologic confirmate și diagnosticate clinic, cazuri noi și recidive) notificate către autoritatea națională, într-o perioadă anumită de timp                                                                                        Numitor: Nu este   </v>
      </c>
      <c r="E47" s="299" t="str">
        <f>IFERROR(VLOOKUP(A47,Table1[],6,0),"")</f>
        <v xml:space="preserve">Colectat anual </v>
      </c>
      <c r="F47" s="299" t="str">
        <f>IFERROR(VLOOKUP(A47,Table1[],7,0),"")</f>
        <v>Sistemul R&amp;R TB/ Rapoarte anuale; Supraveghere de rutină a DR (Drog Rezistenței)/ SYME TB</v>
      </c>
      <c r="G47" s="300"/>
      <c r="H47" s="301"/>
    </row>
    <row r="48" spans="1:8" ht="15.75">
      <c r="B48" s="119"/>
      <c r="C48" s="322" t="str">
        <f>IFERROR(VLOOKUP(A48,Table1[],4,0),"")</f>
        <v/>
      </c>
      <c r="D48" s="323" t="str">
        <f>IFERROR(VLOOKUP(A48,Indicatori!$A$2:$E$26,5,0),"")</f>
        <v/>
      </c>
      <c r="E48" s="315" t="str">
        <f>IFERROR(VLOOKUP(A48,Table1[],6,0),"")</f>
        <v/>
      </c>
      <c r="F48" s="315" t="str">
        <f>IFERROR(VLOOKUP(A48,Table1[],7,0),"")</f>
        <v/>
      </c>
      <c r="G48" s="316"/>
      <c r="H48" s="317"/>
    </row>
    <row r="49" spans="1:8" ht="42.75">
      <c r="A49" s="314">
        <v>15</v>
      </c>
      <c r="B49" s="549" t="s">
        <v>419</v>
      </c>
      <c r="C49" s="298" t="str">
        <f>IFERROR(VLOOKUP(A49,Table1[],4,0),"")</f>
        <v xml:space="preserve">MDR TB-2⁽ᴹ⁾: Numărul cazurilor cu tuberculoză drog-rezistentă (RR-TB și/sau MDR-TB) notificate către autoritatea națională          </v>
      </c>
      <c r="D49" s="304" t="str">
        <f>IFERROR(VLOOKUP(A49,Indicatori!$A$2:$E$26,5,0),"")</f>
        <v xml:space="preserve">Numărător: Numărul de cazuri de TB DR (RR-TB și/sau MDR-TB), confirmate bacteriologic, notificate către autoritatea națională, în perioada raportată                                                                                             Numitor: Nu este   </v>
      </c>
      <c r="E49" s="299" t="str">
        <f>IFERROR(VLOOKUP(A49,Table1[],6,0),"")</f>
        <v xml:space="preserve">Colectat anual </v>
      </c>
      <c r="F49" s="299" t="str">
        <f>IFERROR(VLOOKUP(A49,Table1[],7,0),"")</f>
        <v>Sistemul R&amp;R TB/ Rapoarte anuale; Supraveghere de rutină a DR (Drog Rezistenței)/ SYME TB</v>
      </c>
      <c r="G49" s="302"/>
      <c r="H49" s="303"/>
    </row>
    <row r="50" spans="1:8" ht="45">
      <c r="A50" s="314">
        <v>16</v>
      </c>
      <c r="B50" s="549"/>
      <c r="C50" s="298" t="str">
        <f>IFERROR(VLOOKUP(A50,Table1[],4,0),"")</f>
        <v xml:space="preserve">MDR TB-3⁽ᴹ⁾: Numărul cazurilor cu tuberculoză drog-rezistentă (RR-TB și/sau MDR-TB), confirmate bacteriologic, care au demarat tratamentul DOTS-Plus, în perioada raportată                </v>
      </c>
      <c r="D50" s="304" t="str">
        <f>IFERROR(VLOOKUP(A50,Indicatori!$A$2:$E$26,5,0),"")</f>
        <v xml:space="preserve">Numărător: Numărul cazurilor cu TB DR (RR-TB și/sau MDR-TB), confirmate bacteriologic, care au demarat tratamentul DOTS-Plus în perioada raportată
Numitor: Nu este   </v>
      </c>
      <c r="E50" s="299" t="str">
        <f>IFERROR(VLOOKUP(A50,Table1[],6,0),"")</f>
        <v xml:space="preserve">Colectat anual </v>
      </c>
      <c r="F50" s="299" t="str">
        <f>IFERROR(VLOOKUP(A50,Table1[],7,0),"")</f>
        <v xml:space="preserve">Sistemul R&amp;R TB/ Rapoarte anuale/ SYME TB - Modul DOTS Plus </v>
      </c>
      <c r="G50" s="302"/>
      <c r="H50" s="303"/>
    </row>
    <row r="51" spans="1:8" ht="42.75">
      <c r="A51" s="314">
        <v>17</v>
      </c>
      <c r="B51" s="549"/>
      <c r="C51" s="298" t="str">
        <f>IFERROR(VLOOKUP(A51,Table1[],4,0),"")</f>
        <v>TCS-1.1⁽ᴹ⁾: Procentul persoanelor aflate în tratament ARV, din numărul total de PTH, la sfîrșitul perioadei de raportare</v>
      </c>
      <c r="D51" s="304" t="str">
        <f>IFERROR(VLOOKUP(A51,Indicatori!$A$2:$E$26,5,0),"")</f>
        <v>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v>
      </c>
      <c r="E51" s="299" t="str">
        <f>IFERROR(VLOOKUP(A51,Table1[],6,0),"")</f>
        <v xml:space="preserve">Colectat anual </v>
      </c>
      <c r="F51" s="299" t="str">
        <f>IFERROR(VLOOKUP(A51,Table1[],7,0),"")</f>
        <v xml:space="preserve">Registru pacienți TARV/ Estimări SPECTRUM  </v>
      </c>
      <c r="G51" s="302"/>
      <c r="H51" s="303"/>
    </row>
    <row r="52" spans="1:8" ht="57">
      <c r="A52" s="314">
        <v>18</v>
      </c>
      <c r="B52" s="549"/>
      <c r="C52" s="298" t="str">
        <f>IFERROR(VLOOKUP(A52,Table1[],4,0),"")</f>
        <v xml:space="preserve">KP-1a⁽ᴹ⁾: Procentul BSB acoperiți de programele de prevenire HIV - pachet definit de servicii </v>
      </c>
      <c r="D52" s="304" t="str">
        <f>IFERROR(VLOOKUP(A52,Indicatori!$A$2:$E$26,5,0),"")</f>
        <v>Numărător: Numărul de BSB care au beneficiat de un pachet definit de servicii de prevenire HIV                                                   Numitor: Numărul estimat de BSB în Rep. Moldova</v>
      </c>
      <c r="E52" s="299" t="str">
        <f>IFERROR(VLOOKUP(A52,Table1[],6,0),"")</f>
        <v xml:space="preserve">Colectat anual </v>
      </c>
      <c r="F52" s="299" t="str">
        <f>IFERROR(VLOOKUP(A52,Table1[],7,0),"")</f>
        <v xml:space="preserve">Forme de raportare ONG, Registrul Electronic de Evidență a beneficiarilor din GRSI
</v>
      </c>
      <c r="G52" s="300"/>
      <c r="H52" s="301"/>
    </row>
    <row r="53" spans="1:8" ht="57">
      <c r="A53" s="314">
        <v>19</v>
      </c>
      <c r="B53" s="549"/>
      <c r="C53" s="298" t="str">
        <f>IFERROR(VLOOKUP(A53,Table1[],4,0),"")</f>
        <v xml:space="preserve">KP-1c⁽ᴹ⁾: Procentul LS acoperiți de programele de prevenire HIV - pachet definit de servicii </v>
      </c>
      <c r="D53" s="304" t="str">
        <f>IFERROR(VLOOKUP(A53,Indicatori!$A$2:$E$26,5,0),"")</f>
        <v>Numărător: Numărul de LS care au beneficiat de un pachet definit de servicii de prevenire HIV                                                   Numitor: Numărul estimat de LS în Rep. Moldova</v>
      </c>
      <c r="E53" s="299" t="str">
        <f>IFERROR(VLOOKUP(A53,Table1[],6,0),"")</f>
        <v xml:space="preserve">Colectat anual </v>
      </c>
      <c r="F53" s="299" t="str">
        <f>IFERROR(VLOOKUP(A53,Table1[],7,0),"")</f>
        <v xml:space="preserve">Forme de raportare ONG, Registrul Electronic de Evidență a beneficiarilor din GRSI
</v>
      </c>
      <c r="G53" s="300"/>
      <c r="H53" s="301"/>
    </row>
    <row r="54" spans="1:8" ht="57">
      <c r="A54" s="314">
        <v>20</v>
      </c>
      <c r="B54" s="549"/>
      <c r="C54" s="298" t="str">
        <f>IFERROR(VLOOKUP(A54,Table1[],4,0),"")</f>
        <v xml:space="preserve">KP-1d⁽ᴹ⁾: Procentul persoanelor consumatoare de droguri injectabile acoperite de programele de prevenire HIV - pachet definit de servicii </v>
      </c>
      <c r="D54" s="304" t="str">
        <f>IFERROR(VLOOKUP(A54,Indicatori!$A$2:$E$26,5,0),"")</f>
        <v>Numărător: Numărul de PCDI care au beneficiat de un pachet definit de servicii de prevenire HIV                                                                                              Numitor: Numărul estimat de PCDI în Rep. Moldova</v>
      </c>
      <c r="E54" s="299" t="str">
        <f>IFERROR(VLOOKUP(A54,Table1[],6,0),"")</f>
        <v xml:space="preserve">Colectat anual </v>
      </c>
      <c r="F54" s="299" t="str">
        <f>IFERROR(VLOOKUP(A54,Table1[],7,0),"")</f>
        <v xml:space="preserve">Forme de raportare ONG, Registrul Electronic de Evidență a beneficiarilor din GRSI
</v>
      </c>
      <c r="G54" s="300"/>
      <c r="H54" s="301"/>
    </row>
    <row r="55" spans="1:8" ht="77.25" customHeight="1">
      <c r="A55" s="314">
        <v>21</v>
      </c>
      <c r="B55" s="549"/>
      <c r="C55" s="298" t="str">
        <f>IFERROR(VLOOKUP(A55,Table1[],4,0),"")</f>
        <v>HTS-3a⁽ᴹ⁾: Procentul BSB care au fost testați pentru HIV, în perioada de raportare, și își cunosc rezultatele</v>
      </c>
      <c r="D55" s="304" t="str">
        <f>IFERROR(VLOOKUP(A55,Indicatori!$A$2:$E$26,5,0),"")</f>
        <v>Numărător: Numărul de BSB care au fost testați pentru HIV, în perioada de raportare, și își cunosc rezultatele
Numitor: Numărul estimat de BSB în Rep. Moldova</v>
      </c>
      <c r="E55" s="299" t="str">
        <f>IFERROR(VLOOKUP(A55,Table1[],6,0),"")</f>
        <v xml:space="preserve">Colectat anual </v>
      </c>
      <c r="F55" s="299" t="str">
        <f>IFERROR(VLOOKUP(A55,Table1[],7,0),"")</f>
        <v xml:space="preserve">Forme de raportare ONG, Registrul Electronic de Evidență a beneficiarilor din GRSI
</v>
      </c>
      <c r="G55" s="300"/>
      <c r="H55" s="301"/>
    </row>
    <row r="56" spans="1:8" ht="57">
      <c r="A56" s="314">
        <v>22</v>
      </c>
      <c r="B56" s="549"/>
      <c r="C56" s="298" t="str">
        <f>IFERROR(VLOOKUP(A56,Table1[],4,0),"")</f>
        <v>HTS-3c⁽ᴹ⁾: Procentul LS care au fost testați pentru HIV, în perioada de raportare, și își cunosc rezultatele</v>
      </c>
      <c r="D56" s="304" t="str">
        <f>IFERROR(VLOOKUP(A56,Indicatori!$A$2:$E$26,5,0),"")</f>
        <v xml:space="preserve">Numărător: Numărul de LS care au fost testați pentru HIV, în perioada de raportare, și își cunosc rezultatele
Numitor: Numărul estimat de LS în Rep. Moldova
</v>
      </c>
      <c r="E56" s="299" t="str">
        <f>IFERROR(VLOOKUP(A56,Table1[],6,0),"")</f>
        <v xml:space="preserve">Colectat anual </v>
      </c>
      <c r="F56" s="299" t="str">
        <f>IFERROR(VLOOKUP(A56,Table1[],7,0),"")</f>
        <v xml:space="preserve">Forme de raportare ONG, Registrul Electronic de Evidență a beneficiarilor din GRSI
</v>
      </c>
      <c r="G56" s="300"/>
      <c r="H56" s="301"/>
    </row>
    <row r="57" spans="1:8" ht="57">
      <c r="A57" s="314">
        <v>23</v>
      </c>
      <c r="B57" s="549"/>
      <c r="C57" s="298" t="str">
        <f>IFERROR(VLOOKUP(A57,Table1[],4,0),"")</f>
        <v>HTS-3d⁽ᴹ⁾: Procentul PCDI care au fost testate pentru HIV, în perioada de raportare, și își cunosc rezultatele</v>
      </c>
      <c r="D57" s="304" t="str">
        <f>IFERROR(VLOOKUP(A57,Indicatori!$A$2:$E$26,5,0),"")</f>
        <v>Numărător: Numărul de PCDI care au fost testate pentru HIV, în perioada de raportare, și își cunosc rezultatele
Numitor: Numărul estimat de PCDI în Rep. Moldova</v>
      </c>
      <c r="E57" s="299" t="str">
        <f>IFERROR(VLOOKUP(A57,Table1[],6,0),"")</f>
        <v xml:space="preserve">Colectat anual </v>
      </c>
      <c r="F57" s="299" t="str">
        <f>IFERROR(VLOOKUP(A57,Table1[],7,0),"")</f>
        <v xml:space="preserve">Forme de raportare ONG, Registrul Electronic de Evidență a beneficiarilor din GRSI
</v>
      </c>
      <c r="G57" s="300"/>
      <c r="H57" s="301"/>
    </row>
    <row r="58" spans="1:8" ht="30">
      <c r="A58" s="314">
        <v>24</v>
      </c>
      <c r="B58" s="549"/>
      <c r="C58" s="298" t="str">
        <f>IFERROR(VLOOKUP(A58,Table1[],4,0),"")</f>
        <v>HTS-3f⁽ᴹ⁾: Numărul deținuților care au fost testați pentru HIV, în perioada de raportare, și își cunosc rezultatele</v>
      </c>
      <c r="D58" s="304" t="str">
        <f>IFERROR(VLOOKUP(A58,Indicatori!$A$2:$E$26,5,0),"")</f>
        <v>Numărător: Numărul deținuților care au fost testați pentru HIV, în perioada de raportare, și își cunosc rezultatele
Numitor: Nu este</v>
      </c>
      <c r="E58" s="299" t="str">
        <f>IFERROR(VLOOKUP(A58,Table1[],6,0),"")</f>
        <v xml:space="preserve">Colectat anual </v>
      </c>
      <c r="F58" s="299" t="str">
        <f>IFERROR(VLOOKUP(A58,Table1[],7,0),"")</f>
        <v>Platfoma electronică TESTRAP</v>
      </c>
      <c r="G58" s="300"/>
      <c r="H58" s="301"/>
    </row>
    <row r="59" spans="1:8" ht="42.75">
      <c r="A59" s="314">
        <v>25</v>
      </c>
      <c r="B59" s="549"/>
      <c r="C59" s="298" t="str">
        <f>IFERROR(VLOOKUP(A59,Table1[],4,0),"")</f>
        <v>KP-6a: Procentul BSB eligibili, care au inițiat tratamentul oral antiretroviral PrEP, în perioada de raportare</v>
      </c>
      <c r="D59" s="304" t="str">
        <f>IFERROR(VLOOKUP(A59,Indicatori!$A$2:$E$26,5,0),"")</f>
        <v>Numărător: Numărul de BSB eligibili, care au inițiat tratamentul oral antiretroviral PrEP, în perioada de raportare
Numitor: Numărul de BSB eligibili pentru inițierea tratamentul oral antiretroviral PrEP, în perioada de raportare</v>
      </c>
      <c r="E59" s="362" t="str">
        <f>IFERROR(VLOOKUP(A59,Table1[],6,0),"")</f>
        <v xml:space="preserve">Colectat anual </v>
      </c>
      <c r="F59" s="299" t="str">
        <f>IFERROR(VLOOKUP(A59,Table1[],7,0),"")</f>
        <v>Registru pacienți TARV pentru PrEP, Registrul Electronic de Evidență a beneficiarilor din GRSI</v>
      </c>
      <c r="G59" s="300"/>
      <c r="H59" s="301"/>
    </row>
    <row r="60" spans="1:8" ht="15.75">
      <c r="C60" s="326" t="s">
        <v>231</v>
      </c>
      <c r="D60" s="327" t="s">
        <v>213</v>
      </c>
      <c r="E60" s="327" t="s">
        <v>214</v>
      </c>
      <c r="F60" s="327" t="s">
        <v>215</v>
      </c>
      <c r="G60" s="328"/>
      <c r="H60" s="329"/>
    </row>
    <row r="61" spans="1:8" ht="15.75">
      <c r="C61" s="116"/>
      <c r="D61" s="295"/>
      <c r="E61" s="295"/>
      <c r="F61" s="294"/>
      <c r="G61" s="295"/>
      <c r="H61" s="296"/>
    </row>
    <row r="62" spans="1:8" ht="31.5">
      <c r="C62" s="324" t="s">
        <v>230</v>
      </c>
      <c r="D62" s="325"/>
      <c r="E62" s="325"/>
      <c r="F62" s="318" t="s">
        <v>225</v>
      </c>
      <c r="G62" s="319"/>
      <c r="H62" s="320"/>
    </row>
  </sheetData>
  <mergeCells count="3">
    <mergeCell ref="B49:B59"/>
    <mergeCell ref="B40:B45"/>
    <mergeCell ref="B33:B38"/>
  </mergeCells>
  <phoneticPr fontId="23" type="noConversion"/>
  <pageMargins left="0.70866141732283472" right="0.70866141732283472" top="0.74803149606299213" bottom="0.74803149606299213" header="0.31496062992125984" footer="0.31496062992125984"/>
  <pageSetup paperSize="9" scale="34"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I180"/>
  <sheetViews>
    <sheetView showGridLines="0" tabSelected="1" topLeftCell="B1" zoomScale="80" zoomScaleNormal="80" zoomScaleSheetLayoutView="75" workbookViewId="0">
      <selection activeCell="O111" sqref="O111"/>
    </sheetView>
  </sheetViews>
  <sheetFormatPr defaultColWidth="11" defaultRowHeight="15" outlineLevelRow="1"/>
  <cols>
    <col min="1" max="1" width="5.140625" style="291" customWidth="1"/>
    <col min="2" max="2" width="53" customWidth="1"/>
    <col min="3" max="3" width="23" customWidth="1"/>
    <col min="4" max="4" width="19.140625" customWidth="1"/>
    <col min="5" max="5" width="14.85546875" customWidth="1"/>
    <col min="6" max="6" width="17.42578125" customWidth="1"/>
    <col min="7" max="7" width="16.42578125" customWidth="1"/>
    <col min="8" max="8" width="15.85546875" customWidth="1"/>
    <col min="9" max="9" width="14.7109375" customWidth="1"/>
    <col min="10" max="10" width="13.85546875" customWidth="1"/>
    <col min="11" max="11" width="14.5703125" customWidth="1"/>
    <col min="12" max="12" width="15.28515625" customWidth="1"/>
    <col min="13" max="13" width="15.42578125" customWidth="1"/>
    <col min="14" max="14" width="14.28515625" customWidth="1"/>
    <col min="15" max="15" width="20.4257812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2:13" ht="29.25" customHeight="1"/>
    <row r="2" spans="2:13" ht="15.75" customHeight="1">
      <c r="B2" s="628" t="s">
        <v>274</v>
      </c>
      <c r="C2" s="628"/>
      <c r="D2" s="628"/>
      <c r="E2" s="628"/>
      <c r="F2" s="628"/>
      <c r="G2" s="628"/>
      <c r="H2" s="628"/>
      <c r="I2" s="628"/>
      <c r="J2" s="628"/>
      <c r="K2" s="134"/>
      <c r="L2" s="134"/>
      <c r="M2" s="134"/>
    </row>
    <row r="3" spans="2:13" ht="4.5" customHeight="1"/>
    <row r="4" spans="2:13" ht="34.5" customHeight="1">
      <c r="B4" s="207" t="s">
        <v>275</v>
      </c>
      <c r="C4" s="629" t="s">
        <v>153</v>
      </c>
      <c r="D4" s="630"/>
      <c r="E4" s="618" t="s">
        <v>279</v>
      </c>
      <c r="F4" s="618"/>
      <c r="G4" s="631" t="s">
        <v>412</v>
      </c>
      <c r="H4" s="632"/>
      <c r="I4" s="632"/>
      <c r="J4" s="633"/>
    </row>
    <row r="5" spans="2:13" ht="3" customHeight="1">
      <c r="B5" s="207"/>
      <c r="E5" s="135"/>
      <c r="F5" s="135"/>
    </row>
    <row r="6" spans="2:13">
      <c r="B6" s="207" t="s">
        <v>276</v>
      </c>
      <c r="C6" s="629" t="s">
        <v>411</v>
      </c>
      <c r="D6" s="630"/>
      <c r="E6" s="618" t="s">
        <v>280</v>
      </c>
      <c r="F6" s="618"/>
      <c r="G6" s="382" t="s">
        <v>50</v>
      </c>
      <c r="H6" s="207" t="s">
        <v>281</v>
      </c>
      <c r="I6" s="638">
        <v>24181848</v>
      </c>
      <c r="J6" s="639"/>
    </row>
    <row r="7" spans="2:13" ht="3" customHeight="1">
      <c r="B7" s="207"/>
      <c r="E7" s="135"/>
      <c r="F7" s="135"/>
      <c r="H7" s="207"/>
    </row>
    <row r="8" spans="2:13">
      <c r="B8" s="207" t="s">
        <v>277</v>
      </c>
      <c r="C8" s="629" t="s">
        <v>405</v>
      </c>
      <c r="D8" s="630"/>
      <c r="E8" s="135"/>
      <c r="F8" s="207" t="s">
        <v>282</v>
      </c>
      <c r="G8" s="383" t="s">
        <v>265</v>
      </c>
      <c r="H8" s="207" t="s">
        <v>283</v>
      </c>
      <c r="I8" s="629" t="s">
        <v>265</v>
      </c>
      <c r="J8" s="630"/>
    </row>
    <row r="9" spans="2:13" ht="3" customHeight="1">
      <c r="B9" s="135"/>
      <c r="E9" s="135"/>
      <c r="F9" s="135"/>
    </row>
    <row r="10" spans="2:13">
      <c r="B10" s="207" t="s">
        <v>356</v>
      </c>
      <c r="C10" s="636">
        <v>44197</v>
      </c>
      <c r="D10" s="637"/>
      <c r="E10" s="583" t="s">
        <v>284</v>
      </c>
      <c r="F10" s="584"/>
      <c r="G10" s="629" t="s">
        <v>37</v>
      </c>
      <c r="H10" s="641"/>
      <c r="I10" s="641"/>
      <c r="J10" s="630"/>
    </row>
    <row r="11" spans="2:13" ht="5.25" customHeight="1"/>
    <row r="12" spans="2:13" ht="15" customHeight="1">
      <c r="B12" s="207" t="s">
        <v>278</v>
      </c>
      <c r="C12" s="642" t="s">
        <v>28</v>
      </c>
      <c r="D12" s="642"/>
      <c r="E12" s="583" t="s">
        <v>228</v>
      </c>
      <c r="F12" s="618"/>
      <c r="G12" s="640" t="s">
        <v>406</v>
      </c>
      <c r="H12" s="640"/>
      <c r="I12" s="640"/>
      <c r="J12" s="640"/>
    </row>
    <row r="13" spans="2:13" ht="5.25" customHeight="1"/>
    <row r="14" spans="2:13" ht="15.75" customHeight="1">
      <c r="B14" s="628" t="s">
        <v>285</v>
      </c>
      <c r="C14" s="628"/>
      <c r="D14" s="628"/>
      <c r="E14" s="628"/>
      <c r="F14" s="628"/>
      <c r="G14" s="628"/>
      <c r="H14" s="628"/>
      <c r="I14" s="628"/>
      <c r="J14" s="628"/>
    </row>
    <row r="15" spans="2:13" ht="12" customHeight="1"/>
    <row r="16" spans="2:13" ht="16.149999999999999" customHeight="1">
      <c r="B16" s="207" t="s">
        <v>286</v>
      </c>
      <c r="C16" s="384" t="s">
        <v>69</v>
      </c>
      <c r="D16" s="239" t="s">
        <v>287</v>
      </c>
      <c r="E16" s="529">
        <f>VLOOKUP(C16,Setup!$F$8:$H$21,2,0)</f>
        <v>45108</v>
      </c>
      <c r="F16" s="240" t="s">
        <v>288</v>
      </c>
      <c r="G16" s="529">
        <f>VLOOKUP(C16,Setup!$F$8:$H$21,3,0)</f>
        <v>45291</v>
      </c>
      <c r="H16" s="634" t="s">
        <v>398</v>
      </c>
      <c r="I16" s="635"/>
      <c r="J16" s="293">
        <v>45372</v>
      </c>
    </row>
    <row r="17" spans="2:35" ht="3" customHeight="1"/>
    <row r="18" spans="2:35">
      <c r="B18" s="618" t="s">
        <v>359</v>
      </c>
      <c r="C18" s="584"/>
      <c r="D18" s="627" t="s">
        <v>405</v>
      </c>
      <c r="E18" s="627"/>
      <c r="F18" s="627"/>
    </row>
    <row r="19" spans="2:35" ht="30" customHeight="1"/>
    <row r="20" spans="2:35" ht="21" customHeight="1"/>
    <row r="21" spans="2:35" ht="15.75" customHeight="1">
      <c r="B21" s="628" t="s">
        <v>289</v>
      </c>
      <c r="C21" s="628"/>
      <c r="D21" s="628"/>
      <c r="E21" s="628"/>
      <c r="F21" s="628"/>
      <c r="G21" s="628"/>
      <c r="H21" s="628"/>
      <c r="I21" s="628"/>
      <c r="J21" s="628"/>
    </row>
    <row r="22" spans="2:35">
      <c r="B22" s="135" t="s">
        <v>490</v>
      </c>
    </row>
    <row r="23" spans="2:35" ht="3" customHeight="1"/>
    <row r="24" spans="2:35" ht="15.75" thickBot="1">
      <c r="B24" s="207" t="s">
        <v>290</v>
      </c>
      <c r="C24" s="176"/>
      <c r="D24" s="618" t="s">
        <v>291</v>
      </c>
      <c r="E24" s="618"/>
      <c r="F24" s="177"/>
      <c r="G24" s="618" t="s">
        <v>292</v>
      </c>
      <c r="H24" s="618"/>
      <c r="I24" s="625"/>
      <c r="J24" s="626"/>
    </row>
    <row r="25" spans="2:35" ht="26.25" customHeight="1" thickBot="1">
      <c r="B25" s="44" t="s">
        <v>290</v>
      </c>
      <c r="C25" s="45"/>
      <c r="D25" s="45"/>
      <c r="E25" s="45"/>
      <c r="F25" s="45"/>
      <c r="G25" s="45"/>
      <c r="H25" s="125"/>
      <c r="I25" s="46"/>
      <c r="J25" s="46"/>
      <c r="K25" s="125" t="s">
        <v>399</v>
      </c>
      <c r="L25" s="45"/>
      <c r="M25" s="45"/>
      <c r="N25" s="182"/>
      <c r="O25" s="48"/>
      <c r="AI25" s="64"/>
    </row>
    <row r="26" spans="2:35">
      <c r="B26" s="616" t="s">
        <v>293</v>
      </c>
      <c r="C26" s="617"/>
      <c r="D26" s="385" t="s">
        <v>2</v>
      </c>
      <c r="E26" s="48"/>
      <c r="F26" s="48"/>
      <c r="G26" s="48"/>
      <c r="H26" s="48"/>
      <c r="I26" s="48"/>
      <c r="J26" s="49"/>
      <c r="K26" s="48"/>
      <c r="L26" s="48"/>
      <c r="M26" s="48"/>
      <c r="N26" s="48"/>
      <c r="O26" s="48"/>
      <c r="AI26" s="64"/>
    </row>
    <row r="27" spans="2:35" ht="18.75">
      <c r="B27" s="47" t="s">
        <v>294</v>
      </c>
      <c r="C27" s="48"/>
      <c r="D27" s="48"/>
      <c r="E27" s="48"/>
      <c r="F27" s="48"/>
      <c r="G27" s="48"/>
      <c r="H27" s="48"/>
      <c r="I27" s="48"/>
      <c r="J27" s="49"/>
      <c r="K27" s="48"/>
      <c r="L27" s="48"/>
      <c r="M27" s="48"/>
      <c r="N27" s="48"/>
      <c r="O27" s="48"/>
      <c r="AI27" s="64"/>
    </row>
    <row r="28" spans="2:35" ht="15.75" thickBot="1"/>
    <row r="29" spans="2:35" ht="15.75" thickBot="1">
      <c r="B29" s="619" t="s">
        <v>298</v>
      </c>
      <c r="C29" s="620"/>
      <c r="D29" s="620"/>
      <c r="E29" s="620"/>
      <c r="F29" s="620"/>
      <c r="G29" s="620"/>
      <c r="H29" s="620"/>
      <c r="I29" s="620"/>
      <c r="J29" s="620"/>
      <c r="K29" s="620"/>
      <c r="L29" s="620"/>
      <c r="M29" s="620"/>
      <c r="N29" s="621"/>
      <c r="P29" s="12"/>
      <c r="Q29" s="233"/>
      <c r="R29" s="386">
        <f>+C33</f>
        <v>1488326.86</v>
      </c>
      <c r="S29" s="387"/>
    </row>
    <row r="30" spans="2:35">
      <c r="B30" s="50" t="s">
        <v>295</v>
      </c>
      <c r="C30" s="388" t="s">
        <v>58</v>
      </c>
      <c r="D30" s="388" t="s">
        <v>59</v>
      </c>
      <c r="E30" s="388" t="s">
        <v>60</v>
      </c>
      <c r="F30" s="388" t="s">
        <v>61</v>
      </c>
      <c r="G30" s="388" t="s">
        <v>68</v>
      </c>
      <c r="H30" s="388" t="s">
        <v>69</v>
      </c>
      <c r="I30" s="388" t="s">
        <v>70</v>
      </c>
      <c r="J30" s="388" t="s">
        <v>71</v>
      </c>
      <c r="K30" s="388" t="s">
        <v>72</v>
      </c>
      <c r="L30" s="388" t="s">
        <v>73</v>
      </c>
      <c r="M30" s="388" t="s">
        <v>74</v>
      </c>
      <c r="N30" s="389" t="s">
        <v>227</v>
      </c>
      <c r="O30" s="390" t="s">
        <v>300</v>
      </c>
      <c r="P30" s="12"/>
      <c r="Q30" s="233"/>
      <c r="R30" s="386">
        <f>+D33</f>
        <v>4050294.59</v>
      </c>
      <c r="S30" s="387"/>
    </row>
    <row r="31" spans="2:35">
      <c r="B31" s="132" t="str">
        <f>CONCATENATE("Buget (in ",'Introducerea datelor'!$D$26,")")</f>
        <v>Buget (in €)</v>
      </c>
      <c r="C31" s="241">
        <v>1488326.86</v>
      </c>
      <c r="D31" s="241">
        <v>2561967.73</v>
      </c>
      <c r="E31" s="172">
        <v>3366733.88</v>
      </c>
      <c r="F31" s="225">
        <v>4098615.64</v>
      </c>
      <c r="G31" s="172">
        <v>5315664.34</v>
      </c>
      <c r="H31" s="225">
        <v>6661325.1399999997</v>
      </c>
      <c r="I31" s="225"/>
      <c r="J31" s="172"/>
      <c r="K31" s="172"/>
      <c r="L31" s="172"/>
      <c r="M31" s="172"/>
      <c r="N31" s="172"/>
      <c r="O31" s="560" cm="1">
        <f t="array" ref="O31">LOOKUP(2,1/(C34:N34&gt;0),C34:N34)/I6</f>
        <v>0.88720894118596716</v>
      </c>
      <c r="P31" s="3"/>
      <c r="Q31" s="233"/>
      <c r="R31" s="386">
        <f>+E33</f>
        <v>7417028.4699999997</v>
      </c>
      <c r="S31" s="387"/>
    </row>
    <row r="32" spans="2:35">
      <c r="B32" s="50" t="str">
        <f>CONCATENATE("Debursări de către FG (in ", $D$26,")")</f>
        <v>Debursări de către FG (in €)</v>
      </c>
      <c r="C32" s="241">
        <v>5100114.6100000003</v>
      </c>
      <c r="D32" s="241">
        <v>2284427.9700000002</v>
      </c>
      <c r="E32" s="279">
        <v>2227282.02</v>
      </c>
      <c r="F32" s="280">
        <v>6816356.0300000003</v>
      </c>
      <c r="G32" s="173">
        <v>3134995.27</v>
      </c>
      <c r="H32" s="226">
        <v>1891175.86</v>
      </c>
      <c r="I32" s="225"/>
      <c r="J32" s="172"/>
      <c r="K32" s="172"/>
      <c r="L32" s="172"/>
      <c r="M32" s="172"/>
      <c r="N32" s="172"/>
      <c r="O32" s="561"/>
      <c r="P32" s="12"/>
      <c r="Q32" s="233"/>
      <c r="R32" s="386">
        <f>+F33</f>
        <v>11515644.109999999</v>
      </c>
      <c r="S32" s="387"/>
    </row>
    <row r="33" spans="2:19">
      <c r="B33" s="51" t="s">
        <v>296</v>
      </c>
      <c r="C33" s="391">
        <f>C31</f>
        <v>1488326.86</v>
      </c>
      <c r="D33" s="227">
        <f>IF(AND(D31=0,D32=0),0,+C33+D31)</f>
        <v>4050294.59</v>
      </c>
      <c r="E33" s="227">
        <f>IF(AND(E31=0,E32=0),0,+D33+E31)</f>
        <v>7417028.4699999997</v>
      </c>
      <c r="F33" s="227">
        <f>IF(AND(F31=0,F32=0),0,+E33+F31)</f>
        <v>11515644.109999999</v>
      </c>
      <c r="G33" s="227">
        <f>IF(AND(G31=0,G32=0),0,+F33+G31)</f>
        <v>16831308.449999999</v>
      </c>
      <c r="H33" s="227">
        <f>IF(AND(H31=0,H32=0),0,+G33+H31)</f>
        <v>23492633.59</v>
      </c>
      <c r="I33" s="227">
        <f t="shared" ref="I33:N33" si="0">IF(AND(I31=0,I32=0),0,+H33+I31)</f>
        <v>0</v>
      </c>
      <c r="J33" s="174">
        <f t="shared" si="0"/>
        <v>0</v>
      </c>
      <c r="K33" s="174">
        <f t="shared" si="0"/>
        <v>0</v>
      </c>
      <c r="L33" s="174">
        <f t="shared" si="0"/>
        <v>0</v>
      </c>
      <c r="M33" s="174">
        <f t="shared" si="0"/>
        <v>0</v>
      </c>
      <c r="N33" s="174">
        <f t="shared" si="0"/>
        <v>0</v>
      </c>
      <c r="O33" s="561"/>
      <c r="P33" s="3"/>
      <c r="Q33" s="233"/>
      <c r="R33" s="386">
        <f>+G33</f>
        <v>16831308.449999999</v>
      </c>
      <c r="S33" s="387"/>
    </row>
    <row r="34" spans="2:19" ht="15.75" thickBot="1">
      <c r="B34" s="52" t="s">
        <v>297</v>
      </c>
      <c r="C34" s="242">
        <f>C32</f>
        <v>5100114.6100000003</v>
      </c>
      <c r="D34" s="228">
        <f>IF(AND(D31=0,D32=0),0,+C34+D32)</f>
        <v>7384542.5800000001</v>
      </c>
      <c r="E34" s="228">
        <f>IF(AND(E31=0,E32=0),0,+D34+E32)</f>
        <v>9611824.5999999996</v>
      </c>
      <c r="F34" s="228">
        <f>IF(AND(F31=0,F32=0),0,+E34+F32)</f>
        <v>16428180.629999999</v>
      </c>
      <c r="G34" s="228">
        <f>IF(AND(G31=0,G32=0),0,+F34+G32)</f>
        <v>19563175.899999999</v>
      </c>
      <c r="H34" s="228">
        <f t="shared" ref="H34:N34" si="1">IF(AND(H31=0,H32=0),0,+G34+H32)</f>
        <v>21454351.759999998</v>
      </c>
      <c r="I34" s="228">
        <f t="shared" si="1"/>
        <v>0</v>
      </c>
      <c r="J34" s="175">
        <f t="shared" si="1"/>
        <v>0</v>
      </c>
      <c r="K34" s="175">
        <f t="shared" si="1"/>
        <v>0</v>
      </c>
      <c r="L34" s="175">
        <f t="shared" si="1"/>
        <v>0</v>
      </c>
      <c r="M34" s="175">
        <f t="shared" si="1"/>
        <v>0</v>
      </c>
      <c r="N34" s="175">
        <f t="shared" si="1"/>
        <v>0</v>
      </c>
      <c r="O34" s="562"/>
      <c r="P34" s="3"/>
      <c r="Q34" s="233"/>
      <c r="R34" s="386">
        <f>+H33</f>
        <v>23492633.59</v>
      </c>
      <c r="S34" s="387"/>
    </row>
    <row r="35" spans="2:19">
      <c r="C35" s="161">
        <f>+IF(AND(C30=$C$16,C33&lt;&gt;0),C34/C33,0)</f>
        <v>0</v>
      </c>
      <c r="D35" s="161">
        <f t="shared" ref="D35:N35" si="2">+IF(AND(D30=$C$16,D33&lt;&gt;0),D34/D33,0)</f>
        <v>0</v>
      </c>
      <c r="E35" s="161">
        <f t="shared" si="2"/>
        <v>0</v>
      </c>
      <c r="F35" s="161">
        <f>+IF(AND(F30=$C$16,F33&lt;&gt;0),F34/F33,0)</f>
        <v>0</v>
      </c>
      <c r="G35" s="161">
        <f t="shared" si="2"/>
        <v>0</v>
      </c>
      <c r="H35" s="161">
        <f t="shared" si="2"/>
        <v>0.91323740600680769</v>
      </c>
      <c r="I35" s="161">
        <f t="shared" si="2"/>
        <v>0</v>
      </c>
      <c r="J35" s="161">
        <f t="shared" si="2"/>
        <v>0</v>
      </c>
      <c r="K35" s="161">
        <f t="shared" si="2"/>
        <v>0</v>
      </c>
      <c r="L35" s="161">
        <f t="shared" si="2"/>
        <v>0</v>
      </c>
      <c r="M35" s="161">
        <f t="shared" si="2"/>
        <v>0</v>
      </c>
      <c r="N35" s="161">
        <f t="shared" si="2"/>
        <v>0</v>
      </c>
      <c r="O35" s="102"/>
      <c r="P35" s="272"/>
      <c r="Q35" s="233"/>
      <c r="R35" s="386">
        <f>+I33</f>
        <v>0</v>
      </c>
      <c r="S35" s="387"/>
    </row>
    <row r="36" spans="2:19" ht="18.75">
      <c r="B36" s="47" t="s">
        <v>299</v>
      </c>
      <c r="E36" s="167"/>
      <c r="G36" s="123"/>
      <c r="N36" s="392"/>
      <c r="O36" s="392"/>
    </row>
    <row r="37" spans="2:19" ht="15.75" thickBot="1">
      <c r="M37" s="373"/>
      <c r="N37" s="14"/>
      <c r="O37" s="14"/>
    </row>
    <row r="38" spans="2:19" ht="30" customHeight="1">
      <c r="B38" s="178" t="s">
        <v>483</v>
      </c>
      <c r="C38" s="179" t="str">
        <f>CONCATENATE("Bugetul Cumulativ (în ",'Introducerea datelor'!$D$26,")")</f>
        <v>Bugetul Cumulativ (în €)</v>
      </c>
      <c r="D38" s="180" t="str">
        <f>CONCATENATE("Cheltuielile Cumulative (în ",'Introducerea datelor'!$D$26,")")</f>
        <v>Cheltuielile Cumulative (în €)</v>
      </c>
      <c r="E38" s="278" t="s">
        <v>409</v>
      </c>
      <c r="F38" s="136" t="s">
        <v>410</v>
      </c>
      <c r="J38" s="56"/>
      <c r="K38" s="56"/>
    </row>
    <row r="39" spans="2:19">
      <c r="B39" s="393" t="s">
        <v>491</v>
      </c>
      <c r="C39" s="418">
        <v>288979.94</v>
      </c>
      <c r="D39" s="419">
        <v>270624.58</v>
      </c>
      <c r="E39" s="291">
        <f>C39-D39</f>
        <v>18355.359999999986</v>
      </c>
      <c r="F39" s="283">
        <f>IFERROR(D39/C39,"")</f>
        <v>0.93648223471843761</v>
      </c>
      <c r="G39" s="169"/>
      <c r="J39" s="57"/>
      <c r="K39" s="57"/>
    </row>
    <row r="40" spans="2:19">
      <c r="B40" s="393" t="s">
        <v>478</v>
      </c>
      <c r="C40" s="418">
        <v>8482289.9600000009</v>
      </c>
      <c r="D40" s="419">
        <v>6141704.3700000001</v>
      </c>
      <c r="E40" s="291">
        <f>C40-D40</f>
        <v>2340585.5900000008</v>
      </c>
      <c r="F40" s="283">
        <f t="shared" ref="F40:F53" si="3">IFERROR(D40/C40,"")</f>
        <v>0.72406206330631018</v>
      </c>
      <c r="G40" s="169"/>
      <c r="K40" s="57"/>
    </row>
    <row r="41" spans="2:19">
      <c r="B41" s="393" t="s">
        <v>484</v>
      </c>
      <c r="C41" s="418">
        <v>4541343.5</v>
      </c>
      <c r="D41" s="419">
        <v>4408128.95</v>
      </c>
      <c r="E41" s="291">
        <f>C41-D41</f>
        <v>133214.54999999981</v>
      </c>
      <c r="F41" s="283">
        <f>IFERROR(D41/C41,"")</f>
        <v>0.97066626869339445</v>
      </c>
      <c r="G41" s="169"/>
      <c r="K41" s="57"/>
    </row>
    <row r="42" spans="2:19">
      <c r="B42" s="393" t="s">
        <v>479</v>
      </c>
      <c r="C42" s="420">
        <v>1654911.42</v>
      </c>
      <c r="D42" s="419">
        <v>1610237.28</v>
      </c>
      <c r="E42" s="291">
        <f>C42-D42</f>
        <v>44674.139999999898</v>
      </c>
      <c r="F42" s="283">
        <f t="shared" si="3"/>
        <v>0.97300511709563287</v>
      </c>
      <c r="K42" s="57"/>
    </row>
    <row r="43" spans="2:19" ht="30">
      <c r="B43" s="393" t="s">
        <v>485</v>
      </c>
      <c r="C43" s="420">
        <v>281475.46999999997</v>
      </c>
      <c r="D43" s="419">
        <v>240967.71</v>
      </c>
      <c r="E43" s="291">
        <f t="shared" ref="E43:E48" si="4">C43-D43</f>
        <v>40507.75999999998</v>
      </c>
      <c r="F43" s="283">
        <f t="shared" si="3"/>
        <v>0.85608777915887313</v>
      </c>
      <c r="K43" s="57"/>
    </row>
    <row r="44" spans="2:19" ht="30">
      <c r="B44" s="393" t="s">
        <v>486</v>
      </c>
      <c r="C44" s="418">
        <v>288018.02</v>
      </c>
      <c r="D44" s="419">
        <v>355357.19</v>
      </c>
      <c r="E44" s="291">
        <f t="shared" si="4"/>
        <v>-67339.169999999984</v>
      </c>
      <c r="F44" s="283">
        <f t="shared" si="3"/>
        <v>1.2338019336429018</v>
      </c>
      <c r="G44" s="169"/>
      <c r="K44" s="57"/>
    </row>
    <row r="45" spans="2:19" ht="30">
      <c r="B45" s="393" t="s">
        <v>537</v>
      </c>
      <c r="C45" s="420">
        <v>738141.62</v>
      </c>
      <c r="D45" s="419">
        <v>1031360.49</v>
      </c>
      <c r="E45" s="291">
        <f t="shared" si="4"/>
        <v>-293218.87</v>
      </c>
      <c r="F45" s="283">
        <f>IFERROR(D45/C45,"")</f>
        <v>1.3972393129654441</v>
      </c>
      <c r="K45" s="57"/>
    </row>
    <row r="46" spans="2:19" ht="30">
      <c r="B46" s="393" t="s">
        <v>538</v>
      </c>
      <c r="C46" s="420">
        <v>158554.82999999999</v>
      </c>
      <c r="D46" s="419">
        <v>276278.96999999997</v>
      </c>
      <c r="E46" s="291">
        <f>C46-D46</f>
        <v>-117724.13999999998</v>
      </c>
      <c r="F46" s="283">
        <f>IFERROR(D46/C46,"")</f>
        <v>1.7424822063131093</v>
      </c>
      <c r="K46" s="57"/>
    </row>
    <row r="47" spans="2:19" ht="30">
      <c r="B47" s="393" t="s">
        <v>539</v>
      </c>
      <c r="C47" s="420">
        <v>130367.85</v>
      </c>
      <c r="D47" s="419">
        <v>225378.69</v>
      </c>
      <c r="E47" s="291">
        <f t="shared" si="4"/>
        <v>-95010.84</v>
      </c>
      <c r="F47" s="283">
        <f t="shared" si="3"/>
        <v>1.7287904188034089</v>
      </c>
      <c r="K47" s="57"/>
    </row>
    <row r="48" spans="2:19">
      <c r="B48" s="393" t="s">
        <v>540</v>
      </c>
      <c r="C48" s="420">
        <v>190071.31</v>
      </c>
      <c r="D48" s="419">
        <v>199062.84</v>
      </c>
      <c r="E48" s="291">
        <f t="shared" si="4"/>
        <v>-8991.5299999999988</v>
      </c>
      <c r="F48" s="283">
        <f t="shared" si="3"/>
        <v>1.0473060873837299</v>
      </c>
      <c r="H48" s="373"/>
      <c r="K48" s="57"/>
    </row>
    <row r="49" spans="2:19">
      <c r="B49" s="394" t="s">
        <v>487</v>
      </c>
      <c r="C49" s="420">
        <v>218548.92</v>
      </c>
      <c r="D49" s="419">
        <v>247948.52</v>
      </c>
      <c r="E49" s="291">
        <f>C49-D49</f>
        <v>-29399.599999999977</v>
      </c>
      <c r="F49" s="283">
        <f t="shared" si="3"/>
        <v>1.1345218269667037</v>
      </c>
    </row>
    <row r="50" spans="2:19">
      <c r="B50" s="394" t="s">
        <v>488</v>
      </c>
      <c r="C50" s="420">
        <v>2244812.31</v>
      </c>
      <c r="D50" s="419">
        <v>2132708.83</v>
      </c>
      <c r="E50" s="291"/>
      <c r="F50" s="283">
        <f t="shared" si="3"/>
        <v>0.95006108996257244</v>
      </c>
    </row>
    <row r="51" spans="2:19">
      <c r="B51" s="394" t="s">
        <v>480</v>
      </c>
      <c r="C51" s="420">
        <v>4275118.4400000004</v>
      </c>
      <c r="D51" s="419">
        <v>4592246.59</v>
      </c>
      <c r="E51" s="291">
        <f>C51-D51</f>
        <v>-317128.14999999944</v>
      </c>
      <c r="F51" s="283">
        <f t="shared" si="3"/>
        <v>1.0741799682162723</v>
      </c>
    </row>
    <row r="52" spans="2:19">
      <c r="B52" s="395"/>
      <c r="C52" s="421"/>
      <c r="D52" s="422"/>
      <c r="E52" s="291"/>
      <c r="F52" s="283" t="str">
        <f t="shared" si="3"/>
        <v/>
      </c>
    </row>
    <row r="53" spans="2:19" ht="15.75" thickBot="1">
      <c r="B53" s="181" t="s">
        <v>39</v>
      </c>
      <c r="C53" s="275">
        <f>SUM(C39:C52)</f>
        <v>23492633.59</v>
      </c>
      <c r="D53" s="281">
        <f>SUM(D39:D52)</f>
        <v>21732005.010000002</v>
      </c>
      <c r="E53" s="291">
        <f>C53-D53</f>
        <v>1760628.5799999982</v>
      </c>
      <c r="F53" s="283">
        <f t="shared" si="3"/>
        <v>0.92505614267318936</v>
      </c>
      <c r="N53" s="105"/>
      <c r="O53" s="386"/>
      <c r="P53" s="387"/>
    </row>
    <row r="54" spans="2:19">
      <c r="C54" s="102"/>
      <c r="D54" s="102"/>
      <c r="E54" s="128"/>
      <c r="F54" s="102"/>
      <c r="G54" s="102"/>
      <c r="H54" s="102"/>
      <c r="I54" s="102"/>
      <c r="J54" s="102"/>
      <c r="K54" s="102"/>
      <c r="L54" s="102"/>
      <c r="M54" s="102"/>
      <c r="N54" s="102"/>
      <c r="O54" s="102"/>
      <c r="P54" s="104"/>
      <c r="Q54" s="233"/>
      <c r="R54" s="386"/>
      <c r="S54" s="387"/>
    </row>
    <row r="55" spans="2:19" ht="18.75">
      <c r="B55" s="47" t="s">
        <v>301</v>
      </c>
      <c r="P55" s="387"/>
      <c r="Q55" s="233"/>
      <c r="R55" s="386">
        <f>+J33</f>
        <v>0</v>
      </c>
      <c r="S55" s="387"/>
    </row>
    <row r="56" spans="2:19" ht="15.75" thickBot="1">
      <c r="P56" s="387"/>
      <c r="Q56" s="105"/>
      <c r="R56" s="386">
        <f>+K33</f>
        <v>0</v>
      </c>
      <c r="S56" s="387"/>
    </row>
    <row r="57" spans="2:19" ht="35.25" customHeight="1">
      <c r="B57" s="139"/>
      <c r="C57" s="140" t="s">
        <v>306</v>
      </c>
      <c r="D57" s="140" t="s">
        <v>307</v>
      </c>
      <c r="E57" s="187" t="str">
        <f>CONCATENATE("Total Cheltuit și debursat (în ",D26,")")</f>
        <v>Total Cheltuit și debursat (în €)</v>
      </c>
      <c r="G57" s="234"/>
      <c r="H57" s="136"/>
      <c r="I57" s="133"/>
      <c r="J57" s="133"/>
      <c r="K57" s="133"/>
      <c r="L57" s="133"/>
      <c r="M57" s="133"/>
      <c r="N57" s="133"/>
      <c r="O57" s="387"/>
      <c r="P57" s="105"/>
      <c r="Q57" s="386">
        <f>+M33</f>
        <v>0</v>
      </c>
      <c r="R57" s="387"/>
    </row>
    <row r="58" spans="2:19">
      <c r="B58" s="137" t="s">
        <v>302</v>
      </c>
      <c r="C58" s="513">
        <f>C32+D32+E32+F32+G32</f>
        <v>19563175.899999999</v>
      </c>
      <c r="D58" s="513">
        <f>H32</f>
        <v>1891175.86</v>
      </c>
      <c r="E58" s="276">
        <f>+D58+C58</f>
        <v>21454351.759999998</v>
      </c>
      <c r="G58" s="235"/>
      <c r="H58" s="55"/>
      <c r="I58" s="53"/>
      <c r="J58" s="396"/>
      <c r="K58" s="397"/>
      <c r="L58" s="54"/>
      <c r="M58" s="54"/>
      <c r="N58" s="54"/>
      <c r="O58" s="387"/>
      <c r="P58" s="387"/>
      <c r="Q58" s="387"/>
      <c r="R58" s="387"/>
    </row>
    <row r="59" spans="2:19">
      <c r="B59" s="137" t="s">
        <v>303</v>
      </c>
      <c r="C59" s="423">
        <v>12763352.539999999</v>
      </c>
      <c r="D59" s="423">
        <v>3864765.5</v>
      </c>
      <c r="E59" s="276">
        <f>+D59+C59</f>
        <v>16628118.039999999</v>
      </c>
      <c r="G59" s="236"/>
      <c r="H59" s="55"/>
      <c r="I59" s="53"/>
      <c r="J59" s="396"/>
      <c r="K59" s="396"/>
      <c r="L59" s="54"/>
      <c r="M59" s="54"/>
      <c r="N59" s="54"/>
      <c r="O59" s="387"/>
      <c r="P59" s="387"/>
      <c r="Q59" s="387"/>
      <c r="R59" s="387"/>
    </row>
    <row r="60" spans="2:19">
      <c r="B60" s="137" t="s">
        <v>304</v>
      </c>
      <c r="C60" s="423">
        <v>4517863.9800000004</v>
      </c>
      <c r="D60" s="423">
        <v>586022.99</v>
      </c>
      <c r="E60" s="276">
        <f>+D60+C60</f>
        <v>5103886.9700000007</v>
      </c>
      <c r="G60" s="235"/>
      <c r="H60" s="55"/>
      <c r="I60" s="53"/>
      <c r="J60" s="396"/>
      <c r="K60" s="397"/>
      <c r="L60" s="54"/>
      <c r="M60" s="54"/>
      <c r="N60" s="54"/>
    </row>
    <row r="61" spans="2:19" ht="15.75" thickBot="1">
      <c r="B61" s="138" t="s">
        <v>305</v>
      </c>
      <c r="C61" s="514">
        <v>2854935.2299999995</v>
      </c>
      <c r="D61" s="514">
        <f>5079794.61-C61</f>
        <v>2224859.3800000008</v>
      </c>
      <c r="E61" s="277">
        <f>+D61+C61</f>
        <v>5079794.6100000003</v>
      </c>
      <c r="G61" s="237"/>
      <c r="H61" s="398"/>
      <c r="I61" s="55"/>
      <c r="J61" s="55"/>
      <c r="K61" s="55"/>
      <c r="L61" s="54"/>
      <c r="M61" s="54"/>
      <c r="N61" s="54"/>
    </row>
    <row r="62" spans="2:19" ht="15.75" customHeight="1">
      <c r="E62" s="282"/>
    </row>
    <row r="63" spans="2:19">
      <c r="D63" s="131"/>
    </row>
    <row r="64" spans="2:19" ht="18.75">
      <c r="B64" s="47" t="s">
        <v>361</v>
      </c>
    </row>
    <row r="65" spans="2:19" ht="15.75" thickBot="1"/>
    <row r="66" spans="2:19">
      <c r="B66" s="622" t="s">
        <v>308</v>
      </c>
      <c r="C66" s="623"/>
      <c r="D66" s="624"/>
    </row>
    <row r="67" spans="2:19">
      <c r="B67" s="58"/>
      <c r="C67" s="142" t="s">
        <v>309</v>
      </c>
      <c r="D67" s="143" t="s">
        <v>310</v>
      </c>
    </row>
    <row r="68" spans="2:19">
      <c r="B68" s="59" t="s">
        <v>544</v>
      </c>
      <c r="C68" s="424">
        <v>60</v>
      </c>
      <c r="D68" s="425">
        <v>60</v>
      </c>
    </row>
    <row r="69" spans="2:19">
      <c r="B69" s="141" t="s">
        <v>311</v>
      </c>
      <c r="C69" s="424">
        <v>5</v>
      </c>
      <c r="D69" s="425">
        <v>5</v>
      </c>
      <c r="H69" s="55"/>
      <c r="I69" s="55"/>
    </row>
    <row r="70" spans="2:19" ht="15.75" thickBot="1">
      <c r="B70" s="60" t="s">
        <v>312</v>
      </c>
      <c r="C70" s="426">
        <v>5</v>
      </c>
      <c r="D70" s="427">
        <v>5</v>
      </c>
      <c r="H70" s="55"/>
      <c r="I70" s="55"/>
    </row>
    <row r="72" spans="2:19" ht="15.75" thickBot="1">
      <c r="L72" s="183"/>
    </row>
    <row r="73" spans="2:19" ht="19.5" thickBot="1">
      <c r="B73" s="61" t="s">
        <v>314</v>
      </c>
      <c r="C73" s="62"/>
      <c r="D73" s="62"/>
      <c r="E73" s="62"/>
      <c r="F73" s="62"/>
      <c r="G73" s="62" t="s">
        <v>407</v>
      </c>
      <c r="H73" s="201"/>
      <c r="I73" s="62"/>
      <c r="J73" s="63"/>
      <c r="K73" s="63"/>
      <c r="L73" s="184"/>
      <c r="M73" s="185"/>
      <c r="N73" s="399"/>
      <c r="O73" s="399"/>
      <c r="P73" s="399"/>
      <c r="S73" s="64"/>
    </row>
    <row r="74" spans="2:19" ht="18.75">
      <c r="B74" s="65"/>
      <c r="C74" s="64"/>
      <c r="D74" s="64"/>
      <c r="E74" s="64"/>
      <c r="F74" s="64"/>
      <c r="G74" s="64"/>
      <c r="H74" s="64"/>
      <c r="I74" s="64"/>
      <c r="J74" s="64"/>
      <c r="K74" s="66"/>
      <c r="L74" s="66"/>
      <c r="M74" s="64"/>
      <c r="N74" s="399"/>
      <c r="O74" s="399"/>
      <c r="P74" s="399"/>
      <c r="S74" s="64"/>
    </row>
    <row r="75" spans="2:19" ht="18.75">
      <c r="B75" s="65" t="s">
        <v>315</v>
      </c>
      <c r="C75" s="64"/>
      <c r="D75" s="64"/>
      <c r="E75" s="64"/>
      <c r="F75" s="64"/>
      <c r="G75" s="64"/>
      <c r="H75" s="64"/>
      <c r="I75" s="64"/>
      <c r="J75" s="64"/>
      <c r="K75" s="66"/>
      <c r="L75" s="66"/>
      <c r="M75" s="64"/>
      <c r="N75" s="399"/>
      <c r="O75" s="399"/>
      <c r="P75" s="399"/>
      <c r="S75" s="64"/>
    </row>
    <row r="76" spans="2:19" ht="15.75" thickBot="1">
      <c r="C76" s="67"/>
      <c r="D76" s="67"/>
      <c r="E76" s="67"/>
      <c r="F76" s="67"/>
      <c r="G76" s="67"/>
      <c r="I76" s="67"/>
    </row>
    <row r="77" spans="2:19" ht="60">
      <c r="B77" s="578"/>
      <c r="C77" s="579"/>
      <c r="D77" s="68" t="s">
        <v>543</v>
      </c>
      <c r="E77" s="69" t="s">
        <v>542</v>
      </c>
      <c r="F77" s="69" t="s">
        <v>541</v>
      </c>
      <c r="G77" s="70" t="s">
        <v>39</v>
      </c>
      <c r="H77" s="146"/>
      <c r="I77" s="147"/>
    </row>
    <row r="78" spans="2:19">
      <c r="B78" s="643" t="s">
        <v>316</v>
      </c>
      <c r="C78" s="644"/>
      <c r="D78" s="428"/>
      <c r="E78" s="428"/>
      <c r="F78" s="428"/>
      <c r="G78" s="243">
        <f>SUM(D78:F78)</f>
        <v>0</v>
      </c>
      <c r="I78" s="400"/>
      <c r="J78" s="400"/>
      <c r="K78" t="s">
        <v>313</v>
      </c>
    </row>
    <row r="79" spans="2:19" ht="15.75" thickBot="1">
      <c r="B79" s="574" t="s">
        <v>317</v>
      </c>
      <c r="C79" s="575"/>
      <c r="D79" s="429"/>
      <c r="E79" s="429"/>
      <c r="F79" s="429"/>
      <c r="G79" s="73">
        <f>SUM(D79:F79)</f>
        <v>0</v>
      </c>
    </row>
    <row r="82" spans="2:9" ht="18.75">
      <c r="B82" s="65" t="s">
        <v>318</v>
      </c>
    </row>
    <row r="83" spans="2:9" ht="15.75" thickBot="1"/>
    <row r="84" spans="2:9">
      <c r="B84" s="74"/>
      <c r="C84" s="365" t="s">
        <v>319</v>
      </c>
      <c r="D84" s="365" t="s">
        <v>320</v>
      </c>
      <c r="E84" s="75" t="s">
        <v>321</v>
      </c>
      <c r="I84" s="147"/>
    </row>
    <row r="85" spans="2:9" ht="15.75" thickBot="1">
      <c r="B85" s="76" t="s">
        <v>405</v>
      </c>
      <c r="C85" s="430">
        <v>14</v>
      </c>
      <c r="D85" s="430">
        <v>13</v>
      </c>
      <c r="E85" s="244">
        <f>+C85-D85</f>
        <v>1</v>
      </c>
      <c r="F85" s="124"/>
      <c r="G85" s="129"/>
      <c r="I85" s="400"/>
    </row>
    <row r="87" spans="2:9" ht="18.75">
      <c r="B87" s="65" t="s">
        <v>322</v>
      </c>
    </row>
    <row r="88" spans="2:9" ht="15.75" thickBot="1"/>
    <row r="89" spans="2:9" ht="30">
      <c r="B89" s="74"/>
      <c r="C89" s="365" t="s">
        <v>323</v>
      </c>
      <c r="D89" s="365" t="s">
        <v>324</v>
      </c>
      <c r="E89" s="365" t="s">
        <v>325</v>
      </c>
      <c r="F89" s="365" t="s">
        <v>326</v>
      </c>
      <c r="G89" s="88" t="s">
        <v>327</v>
      </c>
      <c r="H89" s="130"/>
      <c r="I89" s="147"/>
    </row>
    <row r="90" spans="2:9" ht="15.75" thickBot="1">
      <c r="B90" s="76" t="s">
        <v>75</v>
      </c>
      <c r="C90" s="430">
        <v>1</v>
      </c>
      <c r="D90" s="430">
        <v>1</v>
      </c>
      <c r="E90" s="430">
        <v>1</v>
      </c>
      <c r="F90" s="430">
        <v>1</v>
      </c>
      <c r="G90" s="431">
        <v>1</v>
      </c>
      <c r="H90" s="401"/>
    </row>
    <row r="91" spans="2:9">
      <c r="C91" s="245"/>
      <c r="D91" s="245"/>
      <c r="E91" s="245"/>
      <c r="F91" s="245"/>
      <c r="G91" s="245"/>
    </row>
    <row r="92" spans="2:9" ht="18.75">
      <c r="B92" s="65" t="s">
        <v>328</v>
      </c>
    </row>
    <row r="93" spans="2:9" ht="15.75" thickBot="1"/>
    <row r="94" spans="2:9">
      <c r="B94" s="74"/>
      <c r="C94" s="77" t="s">
        <v>331</v>
      </c>
      <c r="D94" s="77" t="s">
        <v>332</v>
      </c>
      <c r="E94" s="78" t="s">
        <v>333</v>
      </c>
    </row>
    <row r="95" spans="2:9">
      <c r="B95" s="71" t="s">
        <v>329</v>
      </c>
      <c r="C95" s="428"/>
      <c r="D95" s="432"/>
      <c r="E95" s="246">
        <f>C95-D95</f>
        <v>0</v>
      </c>
    </row>
    <row r="96" spans="2:9" ht="15.75" thickBot="1">
      <c r="B96" s="72" t="s">
        <v>330</v>
      </c>
      <c r="C96" s="429">
        <v>1</v>
      </c>
      <c r="D96" s="433">
        <v>1</v>
      </c>
      <c r="E96" s="402">
        <f>C96-D96</f>
        <v>0</v>
      </c>
    </row>
    <row r="98" spans="2:14" ht="18.75">
      <c r="B98" s="65" t="s">
        <v>334</v>
      </c>
    </row>
    <row r="99" spans="2:14" ht="15.75" thickBot="1"/>
    <row r="100" spans="2:14">
      <c r="B100" s="107"/>
      <c r="C100" s="403" t="s">
        <v>58</v>
      </c>
      <c r="D100" s="403" t="s">
        <v>59</v>
      </c>
      <c r="E100" s="403" t="s">
        <v>60</v>
      </c>
      <c r="F100" s="403" t="s">
        <v>61</v>
      </c>
      <c r="G100" s="403" t="s">
        <v>68</v>
      </c>
      <c r="H100" s="403" t="s">
        <v>69</v>
      </c>
      <c r="I100" s="403" t="s">
        <v>70</v>
      </c>
      <c r="J100" s="403" t="s">
        <v>71</v>
      </c>
      <c r="K100" s="403" t="s">
        <v>72</v>
      </c>
      <c r="L100" s="403" t="s">
        <v>73</v>
      </c>
      <c r="M100" s="403" t="s">
        <v>74</v>
      </c>
      <c r="N100" s="404" t="s">
        <v>227</v>
      </c>
    </row>
    <row r="101" spans="2:14" ht="15" customHeight="1">
      <c r="B101" s="170" t="s">
        <v>335</v>
      </c>
      <c r="C101" s="434">
        <v>194649.83999999997</v>
      </c>
      <c r="D101" s="434">
        <v>789684.42999999993</v>
      </c>
      <c r="E101" s="435">
        <v>1265650.6200000001</v>
      </c>
      <c r="F101" s="435">
        <v>2228641.13</v>
      </c>
      <c r="G101" s="435">
        <v>2115186.5499999998</v>
      </c>
      <c r="H101" s="434">
        <v>2688476.55</v>
      </c>
      <c r="I101" s="434"/>
      <c r="J101" s="435"/>
      <c r="K101" s="435"/>
      <c r="L101" s="435"/>
      <c r="M101" s="435"/>
      <c r="N101" s="436"/>
    </row>
    <row r="102" spans="2:14" ht="15" customHeight="1">
      <c r="B102" s="170" t="s">
        <v>336</v>
      </c>
      <c r="C102" s="434">
        <v>412674.4182289688</v>
      </c>
      <c r="D102" s="434">
        <v>1275159.3637923682</v>
      </c>
      <c r="E102" s="435">
        <v>1842272.6833430412</v>
      </c>
      <c r="F102" s="435">
        <v>2779633.3466281965</v>
      </c>
      <c r="G102" s="435">
        <v>601923.19216125656</v>
      </c>
      <c r="H102" s="434">
        <v>590517.16374511225</v>
      </c>
      <c r="I102" s="434"/>
      <c r="J102" s="435"/>
      <c r="K102" s="435"/>
      <c r="L102" s="435"/>
      <c r="M102" s="435"/>
      <c r="N102" s="436"/>
    </row>
    <row r="103" spans="2:14" ht="15" customHeight="1">
      <c r="B103" s="170" t="s">
        <v>337</v>
      </c>
      <c r="C103" s="434">
        <v>199615.16</v>
      </c>
      <c r="D103" s="434">
        <v>811748.91999999993</v>
      </c>
      <c r="E103" s="435">
        <v>1281230.56</v>
      </c>
      <c r="F103" s="435">
        <v>3117629.51</v>
      </c>
      <c r="G103" s="435">
        <v>1048235.78</v>
      </c>
      <c r="H103" s="434">
        <v>1518737.4600000002</v>
      </c>
      <c r="I103" s="434"/>
      <c r="J103" s="435"/>
      <c r="K103" s="435"/>
      <c r="L103" s="435"/>
      <c r="M103" s="435"/>
      <c r="N103" s="436"/>
    </row>
    <row r="104" spans="2:14" ht="15" customHeight="1">
      <c r="B104" s="148" t="s">
        <v>338</v>
      </c>
      <c r="C104" s="437">
        <f>C101</f>
        <v>194649.83999999997</v>
      </c>
      <c r="D104" s="438">
        <f>C101+D101</f>
        <v>984334.2699999999</v>
      </c>
      <c r="E104" s="439">
        <f t="shared" ref="E104:F106" si="5">D104+E101</f>
        <v>2249984.89</v>
      </c>
      <c r="F104" s="439">
        <f t="shared" si="5"/>
        <v>4478626.0199999996</v>
      </c>
      <c r="G104" s="439">
        <f t="shared" ref="G104:H106" si="6">F104+G101</f>
        <v>6593812.5699999994</v>
      </c>
      <c r="H104" s="439">
        <f t="shared" si="6"/>
        <v>9282289.1199999992</v>
      </c>
      <c r="I104" s="438"/>
      <c r="J104" s="439"/>
      <c r="K104" s="439"/>
      <c r="L104" s="438"/>
      <c r="M104" s="438"/>
      <c r="N104" s="440"/>
    </row>
    <row r="105" spans="2:14" ht="15" customHeight="1">
      <c r="B105" s="148" t="s">
        <v>339</v>
      </c>
      <c r="C105" s="437">
        <f>C102</f>
        <v>412674.4182289688</v>
      </c>
      <c r="D105" s="438">
        <f>C105+D102</f>
        <v>1687833.782021337</v>
      </c>
      <c r="E105" s="439">
        <f t="shared" si="5"/>
        <v>3530106.4653643779</v>
      </c>
      <c r="F105" s="439">
        <f t="shared" si="5"/>
        <v>6309739.8119925745</v>
      </c>
      <c r="G105" s="439">
        <f t="shared" si="6"/>
        <v>6911663.0041538309</v>
      </c>
      <c r="H105" s="439">
        <f t="shared" si="6"/>
        <v>7502180.1678989436</v>
      </c>
      <c r="I105" s="438"/>
      <c r="J105" s="439"/>
      <c r="K105" s="439"/>
      <c r="L105" s="438"/>
      <c r="M105" s="438"/>
      <c r="N105" s="440"/>
    </row>
    <row r="106" spans="2:14" ht="15.75" thickBot="1">
      <c r="B106" s="196" t="s">
        <v>340</v>
      </c>
      <c r="C106" s="441">
        <f>C103</f>
        <v>199615.16</v>
      </c>
      <c r="D106" s="442">
        <f>C106+D103</f>
        <v>1011364.08</v>
      </c>
      <c r="E106" s="443">
        <f t="shared" si="5"/>
        <v>2292594.64</v>
      </c>
      <c r="F106" s="443">
        <f t="shared" si="5"/>
        <v>5410224.1500000004</v>
      </c>
      <c r="G106" s="443">
        <f t="shared" si="6"/>
        <v>6458459.9300000006</v>
      </c>
      <c r="H106" s="443">
        <f t="shared" si="6"/>
        <v>7977197.3900000006</v>
      </c>
      <c r="I106" s="442"/>
      <c r="J106" s="443"/>
      <c r="K106" s="443"/>
      <c r="L106" s="442"/>
      <c r="M106" s="442"/>
      <c r="N106" s="444"/>
    </row>
    <row r="107" spans="2:14">
      <c r="J107" s="79"/>
      <c r="K107" s="80"/>
      <c r="M107" s="81"/>
    </row>
    <row r="108" spans="2:14">
      <c r="B108" t="s">
        <v>408</v>
      </c>
      <c r="J108" s="79"/>
      <c r="K108" s="80"/>
      <c r="M108" s="81"/>
    </row>
    <row r="109" spans="2:14">
      <c r="J109" s="79"/>
      <c r="K109" s="81"/>
      <c r="M109" s="81"/>
      <c r="N109" s="102"/>
    </row>
    <row r="110" spans="2:14">
      <c r="N110" s="102"/>
    </row>
    <row r="111" spans="2:14" ht="18.75">
      <c r="B111" s="65" t="s">
        <v>341</v>
      </c>
      <c r="N111" s="102"/>
    </row>
    <row r="112" spans="2:14" ht="15.75" thickBot="1"/>
    <row r="113" spans="2:20" ht="90.75" customHeight="1">
      <c r="B113" s="149" t="s">
        <v>342</v>
      </c>
      <c r="C113" s="150" t="s">
        <v>343</v>
      </c>
      <c r="D113" s="106" t="s">
        <v>344</v>
      </c>
      <c r="E113" s="106" t="s">
        <v>345</v>
      </c>
      <c r="F113" s="405" t="s">
        <v>346</v>
      </c>
      <c r="G113" s="405" t="s">
        <v>347</v>
      </c>
      <c r="H113" s="106" t="s">
        <v>348</v>
      </c>
      <c r="I113" s="106" t="s">
        <v>367</v>
      </c>
      <c r="J113" s="106" t="s">
        <v>349</v>
      </c>
      <c r="K113" s="151" t="s">
        <v>350</v>
      </c>
    </row>
    <row r="114" spans="2:20">
      <c r="B114" s="580" t="s">
        <v>265</v>
      </c>
      <c r="C114" s="406" t="s">
        <v>265</v>
      </c>
      <c r="D114" s="177"/>
      <c r="E114" s="21" t="str">
        <f>IF(ISBLANK(D114),"",D114*30)</f>
        <v/>
      </c>
      <c r="F114" s="407"/>
      <c r="G114" s="168" t="str">
        <f>IF(AND(E114&gt;0,F114&gt;0),(F114*E114),"")</f>
        <v/>
      </c>
      <c r="H114" s="407"/>
      <c r="I114" s="189" t="str">
        <f>IF(AND(G114&gt;0,H114&gt;0),H114/G114,"")</f>
        <v/>
      </c>
      <c r="J114" s="408"/>
      <c r="K114" s="197" t="str">
        <f>IF(AND(I114&gt;0,J114&gt;0),I114-J114,"")</f>
        <v/>
      </c>
    </row>
    <row r="115" spans="2:20">
      <c r="B115" s="581"/>
      <c r="C115" s="406" t="s">
        <v>265</v>
      </c>
      <c r="D115" s="177"/>
      <c r="E115" s="21" t="str">
        <f>IF(ISBLANK(D115),"",D115*30)</f>
        <v/>
      </c>
      <c r="F115" s="407"/>
      <c r="G115" s="168" t="str">
        <f>IF(AND(E115&gt;0,F115&gt;0),(F115*E115),"")</f>
        <v/>
      </c>
      <c r="H115" s="407"/>
      <c r="I115" s="189" t="str">
        <f>IF(AND(G115&gt;0,H115&gt;0),H115/G115,"")</f>
        <v/>
      </c>
      <c r="J115" s="408"/>
      <c r="K115" s="197" t="str">
        <f>IF(AND(I115&gt;0,J115&gt;0),I115-J115,"")</f>
        <v/>
      </c>
    </row>
    <row r="116" spans="2:20">
      <c r="B116" s="581"/>
      <c r="C116" s="406" t="s">
        <v>265</v>
      </c>
      <c r="D116" s="177"/>
      <c r="E116" s="21" t="str">
        <f>IF(ISBLANK(D116),"",D116*30)</f>
        <v/>
      </c>
      <c r="F116" s="407"/>
      <c r="G116" s="168" t="str">
        <f>IF(AND(E116&gt;0,F116&gt;0),(F116*E116),"")</f>
        <v/>
      </c>
      <c r="H116" s="407"/>
      <c r="I116" s="189" t="str">
        <f>IF(AND(G116&gt;0,H116&gt;0),H116/G116,"")</f>
        <v/>
      </c>
      <c r="J116" s="408"/>
      <c r="K116" s="197" t="str">
        <f>IF(AND(I116&gt;0,J116&gt;0),I116-J116,"")</f>
        <v/>
      </c>
    </row>
    <row r="117" spans="2:20" ht="15.75" thickBot="1">
      <c r="B117" s="582"/>
      <c r="C117" s="409" t="s">
        <v>265</v>
      </c>
      <c r="D117" s="410"/>
      <c r="E117" s="193" t="str">
        <f>IF(ISBLANK(D117),"",D117*30)</f>
        <v/>
      </c>
      <c r="F117" s="411"/>
      <c r="G117" s="194" t="str">
        <f>IF(AND(E117&gt;0,F117&gt;0),(F117*E117),"")</f>
        <v/>
      </c>
      <c r="H117" s="411"/>
      <c r="I117" s="195" t="str">
        <f>IF(AND(G117&gt;0,H117&gt;0),H117/G117,"")</f>
        <v/>
      </c>
      <c r="J117" s="412"/>
      <c r="K117" s="198" t="str">
        <f>IF(AND(I117&gt;0,J117&gt;0),I117-J117,"")</f>
        <v/>
      </c>
    </row>
    <row r="119" spans="2:20" ht="15.75" thickBot="1">
      <c r="J119" s="64"/>
      <c r="K119" s="64"/>
    </row>
    <row r="120" spans="2:20" ht="19.5" thickBot="1">
      <c r="B120" s="114" t="s">
        <v>351</v>
      </c>
      <c r="C120" s="82"/>
      <c r="D120" s="82"/>
      <c r="E120" s="83"/>
      <c r="F120" s="83"/>
      <c r="G120" s="83"/>
      <c r="H120" s="120"/>
      <c r="I120" s="115"/>
      <c r="J120" s="159"/>
      <c r="K120" s="160" t="s">
        <v>403</v>
      </c>
      <c r="L120" s="83"/>
      <c r="M120" s="159"/>
      <c r="N120" s="159"/>
      <c r="O120" s="159"/>
      <c r="P120" s="413"/>
    </row>
    <row r="121" spans="2:20" ht="15.75" thickBot="1"/>
    <row r="122" spans="2:20" ht="42.75" customHeight="1">
      <c r="B122" s="645" t="s">
        <v>531</v>
      </c>
      <c r="C122" s="646"/>
      <c r="D122" s="647"/>
      <c r="E122" s="152" t="s">
        <v>425</v>
      </c>
      <c r="F122" s="203" t="s">
        <v>426</v>
      </c>
      <c r="G122" s="117"/>
      <c r="H122" s="414" t="s">
        <v>58</v>
      </c>
      <c r="I122" s="414" t="s">
        <v>59</v>
      </c>
      <c r="J122" s="414" t="s">
        <v>60</v>
      </c>
      <c r="K122" s="414" t="s">
        <v>61</v>
      </c>
      <c r="L122" s="414" t="s">
        <v>68</v>
      </c>
      <c r="M122" s="414" t="s">
        <v>69</v>
      </c>
      <c r="N122" s="414" t="s">
        <v>70</v>
      </c>
      <c r="O122" s="414" t="s">
        <v>71</v>
      </c>
      <c r="P122" s="414" t="s">
        <v>72</v>
      </c>
      <c r="Q122" s="414" t="s">
        <v>73</v>
      </c>
      <c r="R122" s="414" t="s">
        <v>74</v>
      </c>
      <c r="S122" s="415" t="s">
        <v>227</v>
      </c>
      <c r="T122" s="3"/>
    </row>
    <row r="123" spans="2:20" ht="16.5" customHeight="1" outlineLevel="1">
      <c r="B123" s="573" t="str">
        <f>VLOOKUP(T123,Table1[],4,0)</f>
        <v>TB I-3(M): Rata mortalităţii prin TB la 100,000 populație</v>
      </c>
      <c r="C123" s="573"/>
      <c r="D123" s="573"/>
      <c r="E123" s="563" t="str">
        <f>VLOOKUP(T123,Table1[],2,0)</f>
        <v>Indicator de impact</v>
      </c>
      <c r="F123" s="565" t="str">
        <f>VLOOKUP(T123,Table1[],3,0)</f>
        <v>TB</v>
      </c>
      <c r="G123" s="199" t="s">
        <v>352</v>
      </c>
      <c r="H123" s="447">
        <v>7.2</v>
      </c>
      <c r="I123" s="447">
        <v>5.8</v>
      </c>
      <c r="J123" s="446">
        <v>5.8</v>
      </c>
      <c r="K123" s="445">
        <v>5</v>
      </c>
      <c r="L123" s="445">
        <v>5</v>
      </c>
      <c r="M123" s="445">
        <v>4.3</v>
      </c>
      <c r="N123" s="445">
        <v>4.3</v>
      </c>
      <c r="O123" s="445"/>
      <c r="P123" s="445"/>
      <c r="Q123" s="445"/>
      <c r="R123" s="445"/>
      <c r="S123" s="448"/>
      <c r="T123" s="416">
        <v>1</v>
      </c>
    </row>
    <row r="124" spans="2:20" ht="16.5" customHeight="1" outlineLevel="1">
      <c r="B124" s="573"/>
      <c r="C124" s="573"/>
      <c r="D124" s="573"/>
      <c r="E124" s="564"/>
      <c r="F124" s="566"/>
      <c r="G124" s="530" t="s">
        <v>353</v>
      </c>
      <c r="H124" s="535">
        <v>3.6</v>
      </c>
      <c r="I124" s="532">
        <v>4.87</v>
      </c>
      <c r="J124" s="532">
        <v>4.87</v>
      </c>
      <c r="K124" s="532">
        <v>5.19</v>
      </c>
      <c r="L124" s="532">
        <v>5.19</v>
      </c>
      <c r="M124" s="532">
        <v>4.7</v>
      </c>
      <c r="N124" s="449"/>
      <c r="O124" s="449"/>
      <c r="P124" s="449"/>
      <c r="Q124" s="449"/>
      <c r="R124" s="449"/>
      <c r="S124" s="450"/>
      <c r="T124" s="416"/>
    </row>
    <row r="125" spans="2:20" ht="16.5" customHeight="1" outlineLevel="1">
      <c r="B125" s="559" t="str">
        <f>VLOOKUP(T125,Table1[],4,0)</f>
        <v xml:space="preserve">TB I-4(M): Prevalența RR-TB și/sau MDR-TB printre cazurile noi de tuberculoză </v>
      </c>
      <c r="C125" s="559"/>
      <c r="D125" s="559"/>
      <c r="E125" s="569" t="str">
        <f>VLOOKUP(T125,Table1[],2,0)</f>
        <v>Indicator de impact</v>
      </c>
      <c r="F125" s="567" t="str">
        <f>VLOOKUP(T125,Table1[],3,0)</f>
        <v>TB</v>
      </c>
      <c r="G125" s="231" t="s">
        <v>352</v>
      </c>
      <c r="H125" s="518">
        <v>21</v>
      </c>
      <c r="I125" s="518">
        <v>24.29</v>
      </c>
      <c r="J125" s="451">
        <v>24.3</v>
      </c>
      <c r="K125" s="522">
        <v>23.07</v>
      </c>
      <c r="L125" s="522">
        <v>23.07</v>
      </c>
      <c r="M125" s="522">
        <v>21.92</v>
      </c>
      <c r="N125" s="522">
        <v>21.92</v>
      </c>
      <c r="O125" s="452"/>
      <c r="P125" s="452"/>
      <c r="Q125" s="452"/>
      <c r="R125" s="452"/>
      <c r="S125" s="453"/>
      <c r="T125" s="416">
        <v>2</v>
      </c>
    </row>
    <row r="126" spans="2:20" ht="16.5" customHeight="1" outlineLevel="1">
      <c r="B126" s="559"/>
      <c r="C126" s="559"/>
      <c r="D126" s="559"/>
      <c r="E126" s="570"/>
      <c r="F126" s="568"/>
      <c r="G126" s="533" t="s">
        <v>353</v>
      </c>
      <c r="H126" s="535">
        <v>27.92</v>
      </c>
      <c r="I126" s="534">
        <v>28.35</v>
      </c>
      <c r="J126" s="534">
        <v>28.35</v>
      </c>
      <c r="K126" s="534">
        <v>23.4</v>
      </c>
      <c r="L126" s="534">
        <v>23.4</v>
      </c>
      <c r="M126" s="534">
        <v>24.66</v>
      </c>
      <c r="N126" s="454"/>
      <c r="O126" s="454"/>
      <c r="P126" s="454"/>
      <c r="Q126" s="454"/>
      <c r="R126" s="454"/>
      <c r="S126" s="455"/>
      <c r="T126" s="416"/>
    </row>
    <row r="127" spans="2:20" ht="16.5" customHeight="1" outlineLevel="1">
      <c r="B127" s="573" t="str">
        <f>VLOOKUP(T127,Table1[],4,0)</f>
        <v>HIV I-4: Mortalitatea asociată cu SIDA la 100,000 populaţie</v>
      </c>
      <c r="C127" s="573"/>
      <c r="D127" s="573"/>
      <c r="E127" s="576" t="str">
        <f>VLOOKUP(T127,Table1[],2,0)</f>
        <v>Indicator de impact</v>
      </c>
      <c r="F127" s="565" t="str">
        <f>VLOOKUP(T127,Table1[],3,0)</f>
        <v>HIV</v>
      </c>
      <c r="G127" s="199" t="s">
        <v>352</v>
      </c>
      <c r="H127" s="521" t="s">
        <v>482</v>
      </c>
      <c r="I127" s="521">
        <v>9.69</v>
      </c>
      <c r="J127" s="521">
        <v>9.69</v>
      </c>
      <c r="K127" s="521">
        <v>9.6199999999999992</v>
      </c>
      <c r="L127" s="521">
        <v>9.6199999999999992</v>
      </c>
      <c r="M127" s="521">
        <v>9.5500000000000007</v>
      </c>
      <c r="N127" s="521">
        <v>9.5500000000000007</v>
      </c>
      <c r="O127" s="456"/>
      <c r="P127" s="456"/>
      <c r="Q127" s="456"/>
      <c r="R127" s="456"/>
      <c r="S127" s="457"/>
      <c r="T127" s="416">
        <v>3</v>
      </c>
    </row>
    <row r="128" spans="2:20" ht="15" customHeight="1" outlineLevel="1">
      <c r="B128" s="573"/>
      <c r="C128" s="573"/>
      <c r="D128" s="573"/>
      <c r="E128" s="577"/>
      <c r="F128" s="566"/>
      <c r="G128" s="530" t="s">
        <v>353</v>
      </c>
      <c r="H128" s="535">
        <v>14.32</v>
      </c>
      <c r="I128" s="535" t="s">
        <v>482</v>
      </c>
      <c r="J128" s="535">
        <v>16.010000000000002</v>
      </c>
      <c r="K128" s="535" t="s">
        <v>482</v>
      </c>
      <c r="L128" s="535">
        <v>15.71</v>
      </c>
      <c r="M128" s="531" t="s">
        <v>482</v>
      </c>
      <c r="N128" s="458"/>
      <c r="O128" s="458"/>
      <c r="P128" s="458"/>
      <c r="Q128" s="458"/>
      <c r="R128" s="458"/>
      <c r="S128" s="459"/>
      <c r="T128" s="416"/>
    </row>
    <row r="129" spans="2:20" ht="16.5" hidden="1" customHeight="1" outlineLevel="1">
      <c r="B129" s="559" t="str">
        <f>VLOOKUP(T129,Table1[],4,0)</f>
        <v xml:space="preserve">HIV I-9a⁽ᴹ⁾: Procentul BSB care trăiesc cu HIV </v>
      </c>
      <c r="C129" s="559"/>
      <c r="D129" s="559"/>
      <c r="E129" s="569" t="str">
        <f>VLOOKUP(T129,Table1[],2,0)</f>
        <v>Indicator de impact</v>
      </c>
      <c r="F129" s="567" t="str">
        <f>VLOOKUP(T129,Table1[],3,0)</f>
        <v>HIV</v>
      </c>
      <c r="G129" s="231" t="s">
        <v>352</v>
      </c>
      <c r="H129" s="452" t="s">
        <v>482</v>
      </c>
      <c r="I129" s="452" t="s">
        <v>482</v>
      </c>
      <c r="J129" s="452" t="s">
        <v>482</v>
      </c>
      <c r="K129" s="452" t="s">
        <v>482</v>
      </c>
      <c r="L129" s="452" t="s">
        <v>482</v>
      </c>
      <c r="M129" s="452" t="s">
        <v>482</v>
      </c>
      <c r="N129" s="452" t="s">
        <v>482</v>
      </c>
      <c r="O129" s="460"/>
      <c r="P129" s="460"/>
      <c r="Q129" s="460"/>
      <c r="R129" s="460"/>
      <c r="S129" s="453"/>
      <c r="T129" s="416">
        <v>4</v>
      </c>
    </row>
    <row r="130" spans="2:20" ht="16.5" hidden="1" customHeight="1" outlineLevel="1">
      <c r="B130" s="559"/>
      <c r="C130" s="559"/>
      <c r="D130" s="559"/>
      <c r="E130" s="570"/>
      <c r="F130" s="568"/>
      <c r="G130" s="523" t="s">
        <v>353</v>
      </c>
      <c r="H130" s="524" t="s">
        <v>482</v>
      </c>
      <c r="I130" s="524" t="s">
        <v>482</v>
      </c>
      <c r="J130" s="524" t="s">
        <v>482</v>
      </c>
      <c r="K130" s="524" t="s">
        <v>482</v>
      </c>
      <c r="L130" s="524" t="s">
        <v>482</v>
      </c>
      <c r="M130" s="524" t="s">
        <v>482</v>
      </c>
      <c r="N130" s="460"/>
      <c r="O130" s="460"/>
      <c r="P130" s="460"/>
      <c r="Q130" s="460"/>
      <c r="R130" s="460"/>
      <c r="S130" s="453"/>
      <c r="T130" s="416"/>
    </row>
    <row r="131" spans="2:20" ht="16.5" hidden="1" customHeight="1" outlineLevel="1">
      <c r="B131" s="598" t="str">
        <f>VLOOKUP(T131,Table1[],4,0)</f>
        <v>HIV I-10⁽ᴹ⁾: Procentul LS care trăiesc cu HIV</v>
      </c>
      <c r="C131" s="598"/>
      <c r="D131" s="598"/>
      <c r="E131" s="555" t="str">
        <f>VLOOKUP(T131,Table1[],2,0)</f>
        <v>Indicator de impact</v>
      </c>
      <c r="F131" s="557" t="str">
        <f>VLOOKUP(T131,Table1[],3,0)</f>
        <v>HIV</v>
      </c>
      <c r="G131" s="192" t="s">
        <v>352</v>
      </c>
      <c r="H131" s="461" t="s">
        <v>482</v>
      </c>
      <c r="I131" s="452" t="s">
        <v>482</v>
      </c>
      <c r="J131" s="452" t="s">
        <v>482</v>
      </c>
      <c r="K131" s="452" t="s">
        <v>482</v>
      </c>
      <c r="L131" s="452" t="s">
        <v>482</v>
      </c>
      <c r="M131" s="452" t="s">
        <v>482</v>
      </c>
      <c r="N131" s="452" t="s">
        <v>482</v>
      </c>
      <c r="O131" s="462"/>
      <c r="P131" s="462"/>
      <c r="Q131" s="462"/>
      <c r="R131" s="462"/>
      <c r="S131" s="463"/>
      <c r="T131" s="416">
        <v>5</v>
      </c>
    </row>
    <row r="132" spans="2:20" ht="16.5" hidden="1" customHeight="1" outlineLevel="1">
      <c r="B132" s="598"/>
      <c r="C132" s="598"/>
      <c r="D132" s="598"/>
      <c r="E132" s="556"/>
      <c r="F132" s="558"/>
      <c r="G132" s="525" t="s">
        <v>353</v>
      </c>
      <c r="H132" s="526" t="s">
        <v>482</v>
      </c>
      <c r="I132" s="524" t="s">
        <v>482</v>
      </c>
      <c r="J132" s="524" t="s">
        <v>482</v>
      </c>
      <c r="K132" s="524" t="s">
        <v>482</v>
      </c>
      <c r="L132" s="524" t="s">
        <v>482</v>
      </c>
      <c r="M132" s="524" t="s">
        <v>482</v>
      </c>
      <c r="N132" s="462"/>
      <c r="O132" s="462"/>
      <c r="P132" s="462"/>
      <c r="Q132" s="462"/>
      <c r="R132" s="462"/>
      <c r="S132" s="463"/>
      <c r="T132" s="416"/>
    </row>
    <row r="133" spans="2:20" ht="16.5" hidden="1" customHeight="1" outlineLevel="1">
      <c r="B133" s="599" t="str">
        <f>VLOOKUP(T133,Table1[],4,0)</f>
        <v>HIV I-11⁽ᴹ⁾: Procentul persoanelor consumatoare de droguri injectabile care trăiesc cu HIV</v>
      </c>
      <c r="C133" s="599"/>
      <c r="D133" s="599"/>
      <c r="E133" s="600" t="str">
        <f>VLOOKUP(T133,Table1[],2,0)</f>
        <v>Indicator de impact</v>
      </c>
      <c r="F133" s="571" t="str">
        <f>VLOOKUP(T133,Table1[],3,0)</f>
        <v>HIV</v>
      </c>
      <c r="G133" s="191" t="s">
        <v>352</v>
      </c>
      <c r="H133" s="461" t="s">
        <v>482</v>
      </c>
      <c r="I133" s="452" t="s">
        <v>482</v>
      </c>
      <c r="J133" s="452" t="s">
        <v>482</v>
      </c>
      <c r="K133" s="452" t="s">
        <v>482</v>
      </c>
      <c r="L133" s="452" t="s">
        <v>482</v>
      </c>
      <c r="M133" s="452" t="s">
        <v>482</v>
      </c>
      <c r="N133" s="452" t="s">
        <v>482</v>
      </c>
      <c r="O133" s="460"/>
      <c r="P133" s="460"/>
      <c r="Q133" s="460"/>
      <c r="R133" s="460"/>
      <c r="S133" s="453"/>
      <c r="T133" s="416">
        <v>6</v>
      </c>
    </row>
    <row r="134" spans="2:20" ht="16.5" hidden="1" customHeight="1" outlineLevel="1">
      <c r="B134" s="599"/>
      <c r="C134" s="599"/>
      <c r="D134" s="599"/>
      <c r="E134" s="601"/>
      <c r="F134" s="572"/>
      <c r="G134" s="527" t="s">
        <v>353</v>
      </c>
      <c r="H134" s="526" t="s">
        <v>482</v>
      </c>
      <c r="I134" s="524" t="s">
        <v>482</v>
      </c>
      <c r="J134" s="524" t="s">
        <v>482</v>
      </c>
      <c r="K134" s="524" t="s">
        <v>482</v>
      </c>
      <c r="L134" s="524" t="s">
        <v>482</v>
      </c>
      <c r="M134" s="524" t="s">
        <v>482</v>
      </c>
      <c r="N134" s="460"/>
      <c r="O134" s="460"/>
      <c r="P134" s="460"/>
      <c r="Q134" s="460"/>
      <c r="R134" s="460"/>
      <c r="S134" s="453"/>
      <c r="T134" s="416"/>
    </row>
    <row r="135" spans="2:20" ht="16.5" customHeight="1" outlineLevel="1">
      <c r="B135" s="554" t="str">
        <f>VLOOKUP(T135,Table1[],4,0)</f>
        <v>TB O-4(M): Rata succesului tratamentului pacienților cu RR TB și/sau MDR-TB</v>
      </c>
      <c r="C135" s="554"/>
      <c r="D135" s="554"/>
      <c r="E135" s="612" t="str">
        <f>VLOOKUP(T135,Table1[],2,0)</f>
        <v>Indicator de rezultat</v>
      </c>
      <c r="F135" s="611" t="str">
        <f>VLOOKUP(T135,Table1[],3,0)</f>
        <v>TB</v>
      </c>
      <c r="G135" s="192" t="s">
        <v>352</v>
      </c>
      <c r="H135" s="464">
        <v>0.72009999999999996</v>
      </c>
      <c r="I135" s="464">
        <v>0.61799999999999999</v>
      </c>
      <c r="J135" s="464">
        <v>0.61799999999999999</v>
      </c>
      <c r="K135" s="464">
        <v>0.65510000000000002</v>
      </c>
      <c r="L135" s="464">
        <v>0.65510000000000002</v>
      </c>
      <c r="M135" s="464">
        <v>0.69440000000000002</v>
      </c>
      <c r="N135" s="464">
        <v>0.69440000000000002</v>
      </c>
      <c r="O135" s="465"/>
      <c r="P135" s="465"/>
      <c r="Q135" s="465"/>
      <c r="R135" s="465"/>
      <c r="S135" s="463"/>
      <c r="T135" s="416">
        <v>7</v>
      </c>
    </row>
    <row r="136" spans="2:20" ht="16.5" customHeight="1" outlineLevel="1">
      <c r="B136" s="554"/>
      <c r="C136" s="554"/>
      <c r="D136" s="554"/>
      <c r="E136" s="556"/>
      <c r="F136" s="558"/>
      <c r="G136" s="536" t="s">
        <v>353</v>
      </c>
      <c r="H136" s="537">
        <v>0.58740000000000003</v>
      </c>
      <c r="I136" s="537">
        <v>0.63580000000000003</v>
      </c>
      <c r="J136" s="537">
        <v>0.63580000000000003</v>
      </c>
      <c r="K136" s="537">
        <v>0.60599999999999998</v>
      </c>
      <c r="L136" s="537">
        <v>0.60599999999999998</v>
      </c>
      <c r="M136" s="537">
        <v>0.6341</v>
      </c>
      <c r="N136" s="466"/>
      <c r="O136" s="466"/>
      <c r="P136" s="466"/>
      <c r="Q136" s="466"/>
      <c r="R136" s="466"/>
      <c r="S136" s="467"/>
      <c r="T136" s="416"/>
    </row>
    <row r="137" spans="2:20" ht="16.5" customHeight="1" outlineLevel="1">
      <c r="B137" s="599" t="str">
        <f>VLOOKUP(T137,Table1[],4,0)</f>
        <v>TB O-5(M): Rata de acoperire cu tratament antituberculos</v>
      </c>
      <c r="C137" s="599"/>
      <c r="D137" s="599"/>
      <c r="E137" s="550" t="str">
        <f>VLOOKUP(T137,Table1[],2,0)</f>
        <v>Indicator de rezultat</v>
      </c>
      <c r="F137" s="552" t="str">
        <f>VLOOKUP(T137,Table1[],3,0)</f>
        <v>TB</v>
      </c>
      <c r="G137" s="200" t="s">
        <v>352</v>
      </c>
      <c r="H137" s="464">
        <v>0.89</v>
      </c>
      <c r="I137" s="464">
        <v>0.88349999999999995</v>
      </c>
      <c r="J137" s="464">
        <v>0.88349999999999995</v>
      </c>
      <c r="K137" s="520">
        <v>0.90559999999999996</v>
      </c>
      <c r="L137" s="520">
        <v>0.90559999999999996</v>
      </c>
      <c r="M137" s="520">
        <v>0.92820000000000003</v>
      </c>
      <c r="N137" s="520">
        <v>0.92820000000000003</v>
      </c>
      <c r="O137" s="468"/>
      <c r="P137" s="468"/>
      <c r="Q137" s="468"/>
      <c r="R137" s="468"/>
      <c r="S137" s="469"/>
      <c r="T137" s="416">
        <v>8</v>
      </c>
    </row>
    <row r="138" spans="2:20" ht="16.5" customHeight="1" outlineLevel="1">
      <c r="B138" s="599"/>
      <c r="C138" s="599"/>
      <c r="D138" s="599"/>
      <c r="E138" s="551"/>
      <c r="F138" s="553"/>
      <c r="G138" s="538" t="s">
        <v>353</v>
      </c>
      <c r="H138" s="537">
        <v>0.76</v>
      </c>
      <c r="I138" s="537">
        <v>0.9</v>
      </c>
      <c r="J138" s="537">
        <v>0.9</v>
      </c>
      <c r="K138" s="537">
        <v>0.8</v>
      </c>
      <c r="L138" s="537">
        <v>0.8</v>
      </c>
      <c r="M138" s="537">
        <v>0.87</v>
      </c>
      <c r="N138" s="470"/>
      <c r="O138" s="470"/>
      <c r="P138" s="470"/>
      <c r="Q138" s="470"/>
      <c r="R138" s="470"/>
      <c r="S138" s="471"/>
      <c r="T138" s="416"/>
    </row>
    <row r="139" spans="2:20" ht="16.5" hidden="1" customHeight="1" outlineLevel="1">
      <c r="B139" s="554" t="str">
        <f>VLOOKUP(T139,Table1[],4,0)</f>
        <v>HIV O-4a⁽ᴹ⁾: Procentul BSB care raportează utilizarea prezervativului în timpul ultimului act de sex anal cu un partener de sex masculin</v>
      </c>
      <c r="C139" s="554"/>
      <c r="D139" s="554"/>
      <c r="E139" s="555" t="str">
        <f>VLOOKUP(T139,Table1[],2,0)</f>
        <v>Indicator de rezultat</v>
      </c>
      <c r="F139" s="557" t="str">
        <f>VLOOKUP(T139,Table1[],3,0)</f>
        <v>HIV</v>
      </c>
      <c r="G139" s="192" t="s">
        <v>352</v>
      </c>
      <c r="H139" s="461" t="s">
        <v>482</v>
      </c>
      <c r="I139" s="452" t="s">
        <v>482</v>
      </c>
      <c r="J139" s="461" t="s">
        <v>482</v>
      </c>
      <c r="K139" s="461" t="s">
        <v>482</v>
      </c>
      <c r="L139" s="461" t="s">
        <v>482</v>
      </c>
      <c r="M139" s="461" t="s">
        <v>482</v>
      </c>
      <c r="N139" s="472"/>
      <c r="O139" s="472"/>
      <c r="P139" s="472"/>
      <c r="Q139" s="472"/>
      <c r="R139" s="472"/>
      <c r="S139" s="473"/>
      <c r="T139" s="416">
        <v>9</v>
      </c>
    </row>
    <row r="140" spans="2:20" ht="19.899999999999999" hidden="1" customHeight="1" outlineLevel="1">
      <c r="B140" s="554"/>
      <c r="C140" s="554"/>
      <c r="D140" s="554"/>
      <c r="E140" s="556"/>
      <c r="F140" s="558"/>
      <c r="G140" s="536" t="s">
        <v>353</v>
      </c>
      <c r="H140" s="539" t="s">
        <v>482</v>
      </c>
      <c r="I140" s="540" t="s">
        <v>482</v>
      </c>
      <c r="J140" s="539" t="s">
        <v>482</v>
      </c>
      <c r="K140" s="539" t="s">
        <v>482</v>
      </c>
      <c r="L140" s="539" t="s">
        <v>482</v>
      </c>
      <c r="M140" s="539" t="s">
        <v>482</v>
      </c>
      <c r="N140" s="472"/>
      <c r="O140" s="472"/>
      <c r="P140" s="472"/>
      <c r="Q140" s="472"/>
      <c r="R140" s="472"/>
      <c r="S140" s="473"/>
      <c r="T140" s="416"/>
    </row>
    <row r="141" spans="2:20" ht="16.5" hidden="1" customHeight="1" outlineLevel="1">
      <c r="B141" s="599" t="str">
        <f>VLOOKUP(T141,Table1[],4,0)</f>
        <v>HIV O-5⁽ᴹ⁾: Procentul LS care raportează utilizarea prezervativului cu ultimul lor client</v>
      </c>
      <c r="C141" s="599"/>
      <c r="D141" s="599"/>
      <c r="E141" s="550" t="str">
        <f>VLOOKUP(T141,Table1[],2,0)</f>
        <v>Indicator de rezultat</v>
      </c>
      <c r="F141" s="552" t="str">
        <f>VLOOKUP(T141,Table1[],3,0)</f>
        <v>HIV</v>
      </c>
      <c r="G141" s="200" t="s">
        <v>352</v>
      </c>
      <c r="H141" s="461" t="s">
        <v>482</v>
      </c>
      <c r="I141" s="452" t="s">
        <v>482</v>
      </c>
      <c r="J141" s="461" t="s">
        <v>482</v>
      </c>
      <c r="K141" s="461" t="s">
        <v>482</v>
      </c>
      <c r="L141" s="461" t="s">
        <v>482</v>
      </c>
      <c r="M141" s="461" t="s">
        <v>482</v>
      </c>
      <c r="N141" s="468"/>
      <c r="O141" s="468"/>
      <c r="P141" s="468"/>
      <c r="Q141" s="468"/>
      <c r="R141" s="468"/>
      <c r="S141" s="469"/>
      <c r="T141" s="416">
        <v>10</v>
      </c>
    </row>
    <row r="142" spans="2:20" ht="16.5" hidden="1" customHeight="1" outlineLevel="1">
      <c r="B142" s="599"/>
      <c r="C142" s="599"/>
      <c r="D142" s="599"/>
      <c r="E142" s="551"/>
      <c r="F142" s="553"/>
      <c r="G142" s="528" t="s">
        <v>353</v>
      </c>
      <c r="H142" s="526" t="s">
        <v>482</v>
      </c>
      <c r="I142" s="524" t="s">
        <v>482</v>
      </c>
      <c r="J142" s="526" t="s">
        <v>482</v>
      </c>
      <c r="K142" s="526" t="s">
        <v>482</v>
      </c>
      <c r="L142" s="526" t="s">
        <v>482</v>
      </c>
      <c r="M142" s="526" t="s">
        <v>482</v>
      </c>
      <c r="N142" s="470"/>
      <c r="O142" s="470"/>
      <c r="P142" s="470"/>
      <c r="Q142" s="470"/>
      <c r="R142" s="470"/>
      <c r="S142" s="471"/>
      <c r="T142" s="416"/>
    </row>
    <row r="143" spans="2:20" ht="16.5" hidden="1" customHeight="1" outlineLevel="1">
      <c r="B143" s="554" t="str">
        <f>VLOOKUP(T143,Table1[],4,0)</f>
        <v>HIV O-6⁽ᴹ⁾: Procentul PCDI care raportează utilizarea setului pentru injectare steril la ultima lor injectare</v>
      </c>
      <c r="C143" s="554"/>
      <c r="D143" s="554"/>
      <c r="E143" s="555" t="str">
        <f>VLOOKUP(T143,Table1[],2,0)</f>
        <v>Indicator de rezultat</v>
      </c>
      <c r="F143" s="557" t="str">
        <f>VLOOKUP(T143,Table1[],3,0)</f>
        <v>HIV</v>
      </c>
      <c r="G143" s="192" t="s">
        <v>352</v>
      </c>
      <c r="H143" s="461" t="s">
        <v>482</v>
      </c>
      <c r="I143" s="452" t="s">
        <v>482</v>
      </c>
      <c r="J143" s="461" t="s">
        <v>482</v>
      </c>
      <c r="K143" s="461" t="s">
        <v>482</v>
      </c>
      <c r="L143" s="461" t="s">
        <v>482</v>
      </c>
      <c r="M143" s="461" t="s">
        <v>482</v>
      </c>
      <c r="N143" s="472"/>
      <c r="O143" s="472"/>
      <c r="P143" s="472"/>
      <c r="Q143" s="472"/>
      <c r="R143" s="472"/>
      <c r="S143" s="473"/>
      <c r="T143" s="416">
        <v>11</v>
      </c>
    </row>
    <row r="144" spans="2:20" ht="16.5" hidden="1" customHeight="1" outlineLevel="1">
      <c r="B144" s="554"/>
      <c r="C144" s="554"/>
      <c r="D144" s="554"/>
      <c r="E144" s="556"/>
      <c r="F144" s="558"/>
      <c r="G144" s="525" t="s">
        <v>353</v>
      </c>
      <c r="H144" s="526" t="s">
        <v>482</v>
      </c>
      <c r="I144" s="524" t="s">
        <v>482</v>
      </c>
      <c r="J144" s="526" t="s">
        <v>482</v>
      </c>
      <c r="K144" s="526" t="s">
        <v>482</v>
      </c>
      <c r="L144" s="526" t="s">
        <v>482</v>
      </c>
      <c r="M144" s="526" t="s">
        <v>482</v>
      </c>
      <c r="N144" s="472"/>
      <c r="O144" s="472"/>
      <c r="P144" s="472"/>
      <c r="Q144" s="472"/>
      <c r="R144" s="472"/>
      <c r="S144" s="473"/>
      <c r="T144" s="416"/>
    </row>
    <row r="145" spans="2:20" ht="16.5" customHeight="1" outlineLevel="1">
      <c r="B145" s="599" t="str">
        <f>VLOOKUP(T145,Table1[],4,0)</f>
        <v>HIV O-11⁽ᴹ⁾: Procentul PTH care își cunosc statutul HIV la sfîrșitul perioadei de raportare</v>
      </c>
      <c r="C145" s="599"/>
      <c r="D145" s="599"/>
      <c r="E145" s="550" t="str">
        <f>VLOOKUP(T145,Table1[],2,0)</f>
        <v>Indicator de rezultat</v>
      </c>
      <c r="F145" s="552" t="str">
        <f>VLOOKUP(T145,Table1[],3,0)</f>
        <v>HIV</v>
      </c>
      <c r="G145" s="200" t="s">
        <v>352</v>
      </c>
      <c r="H145" s="464" t="s">
        <v>482</v>
      </c>
      <c r="I145" s="464">
        <v>0.73</v>
      </c>
      <c r="J145" s="464">
        <v>0.73</v>
      </c>
      <c r="K145" s="464">
        <v>0.77200000000000002</v>
      </c>
      <c r="L145" s="464">
        <v>0.77200000000000002</v>
      </c>
      <c r="M145" s="464">
        <v>0.81499999999999995</v>
      </c>
      <c r="N145" s="464">
        <v>0.81499999999999995</v>
      </c>
      <c r="O145" s="468"/>
      <c r="P145" s="468"/>
      <c r="Q145" s="468"/>
      <c r="R145" s="468"/>
      <c r="S145" s="469"/>
      <c r="T145" s="416">
        <v>12</v>
      </c>
    </row>
    <row r="146" spans="2:20" ht="16.5" customHeight="1" outlineLevel="1">
      <c r="B146" s="599"/>
      <c r="C146" s="599"/>
      <c r="D146" s="599"/>
      <c r="E146" s="551"/>
      <c r="F146" s="553"/>
      <c r="G146" s="538" t="s">
        <v>353</v>
      </c>
      <c r="H146" s="541" t="s">
        <v>482</v>
      </c>
      <c r="I146" s="543" t="s">
        <v>482</v>
      </c>
      <c r="J146" s="543">
        <v>0.66400000000000003</v>
      </c>
      <c r="K146" s="543" t="s">
        <v>482</v>
      </c>
      <c r="L146" s="543">
        <v>0.67179999999999995</v>
      </c>
      <c r="M146" s="543" t="s">
        <v>482</v>
      </c>
      <c r="N146" s="468"/>
      <c r="O146" s="468"/>
      <c r="P146" s="468"/>
      <c r="Q146" s="468"/>
      <c r="R146" s="468"/>
      <c r="S146" s="469"/>
      <c r="T146" s="416"/>
    </row>
    <row r="147" spans="2:20" ht="16.5" customHeight="1" outlineLevel="1">
      <c r="B147" s="554" t="str">
        <f>VLOOKUP(T147,Table1[],4,0)</f>
        <v>HIV O-12: Procentul PTH aflați în tratament ARV, care prezintă supresie virală</v>
      </c>
      <c r="C147" s="554"/>
      <c r="D147" s="554"/>
      <c r="E147" s="555" t="str">
        <f>VLOOKUP(T147,Table1[],2,0)</f>
        <v>Indicator de rezultat</v>
      </c>
      <c r="F147" s="557" t="str">
        <f>VLOOKUP(T147,Table1[],3,0)</f>
        <v>HIV</v>
      </c>
      <c r="G147" s="192" t="s">
        <v>352</v>
      </c>
      <c r="H147" s="464" t="s">
        <v>482</v>
      </c>
      <c r="I147" s="464">
        <v>0.86</v>
      </c>
      <c r="J147" s="464">
        <v>0.86</v>
      </c>
      <c r="K147" s="464">
        <v>0.87</v>
      </c>
      <c r="L147" s="464">
        <v>0.87</v>
      </c>
      <c r="M147" s="464">
        <v>0.88</v>
      </c>
      <c r="N147" s="464">
        <v>0.88</v>
      </c>
      <c r="O147" s="472"/>
      <c r="P147" s="472"/>
      <c r="Q147" s="472"/>
      <c r="R147" s="472"/>
      <c r="S147" s="473"/>
      <c r="T147" s="416">
        <v>13</v>
      </c>
    </row>
    <row r="148" spans="2:20" ht="16.5" customHeight="1" outlineLevel="1">
      <c r="B148" s="554"/>
      <c r="C148" s="554"/>
      <c r="D148" s="554"/>
      <c r="E148" s="556"/>
      <c r="F148" s="558"/>
      <c r="G148" s="536" t="s">
        <v>353</v>
      </c>
      <c r="H148" s="541" t="s">
        <v>482</v>
      </c>
      <c r="I148" s="537">
        <v>0.89149999999999996</v>
      </c>
      <c r="J148" s="537">
        <v>0.89149999999999996</v>
      </c>
      <c r="K148" s="537">
        <v>0.87980000000000003</v>
      </c>
      <c r="L148" s="537">
        <v>0.87980000000000003</v>
      </c>
      <c r="M148" s="537">
        <v>0.88500000000000001</v>
      </c>
      <c r="N148" s="472"/>
      <c r="O148" s="472"/>
      <c r="P148" s="472"/>
      <c r="Q148" s="472"/>
      <c r="R148" s="472"/>
      <c r="S148" s="473"/>
      <c r="T148" s="416"/>
    </row>
    <row r="149" spans="2:20" ht="16.5" customHeight="1">
      <c r="B149" s="599" t="str">
        <f>VLOOKUP(T149,Table1[],4,0)</f>
        <v xml:space="preserve">TCP-1⁽ᴹ⁾: Numărul cazurilor de tuberculoză, toate formele (bacteriologic confirmate și diagnosticate clinic, cazuri noi și recidive) notificate către autoritatea națională, într-o perioadă anumită de timp </v>
      </c>
      <c r="C149" s="599"/>
      <c r="D149" s="599"/>
      <c r="E149" s="550" t="str">
        <f>VLOOKUP(T149,Table1[],2,0)</f>
        <v>Indicator de proces</v>
      </c>
      <c r="F149" s="552" t="str">
        <f>VLOOKUP(T149,Table1[],3,0)</f>
        <v>TB</v>
      </c>
      <c r="G149" s="200" t="s">
        <v>352</v>
      </c>
      <c r="H149" s="515">
        <v>1363</v>
      </c>
      <c r="I149" s="515">
        <v>2726</v>
      </c>
      <c r="J149" s="515">
        <v>1327</v>
      </c>
      <c r="K149" s="515">
        <v>2653</v>
      </c>
      <c r="L149" s="515">
        <v>1293</v>
      </c>
      <c r="M149" s="515">
        <v>2586</v>
      </c>
      <c r="N149" s="468"/>
      <c r="O149" s="468"/>
      <c r="P149" s="468"/>
      <c r="Q149" s="468"/>
      <c r="R149" s="468"/>
      <c r="S149" s="469"/>
      <c r="T149" s="416">
        <v>14</v>
      </c>
    </row>
    <row r="150" spans="2:20" ht="16.5" customHeight="1">
      <c r="B150" s="599"/>
      <c r="C150" s="599"/>
      <c r="D150" s="599"/>
      <c r="E150" s="551"/>
      <c r="F150" s="553"/>
      <c r="G150" s="538" t="s">
        <v>353</v>
      </c>
      <c r="H150" s="542">
        <v>997</v>
      </c>
      <c r="I150" s="542">
        <v>2067</v>
      </c>
      <c r="J150" s="542">
        <v>1066</v>
      </c>
      <c r="K150" s="542">
        <v>2121</v>
      </c>
      <c r="L150" s="542">
        <v>1112</v>
      </c>
      <c r="M150" s="542">
        <v>2162</v>
      </c>
      <c r="N150" s="470"/>
      <c r="O150" s="470"/>
      <c r="P150" s="470"/>
      <c r="Q150" s="470"/>
      <c r="R150" s="470"/>
      <c r="S150" s="471"/>
      <c r="T150" s="416"/>
    </row>
    <row r="151" spans="2:20" ht="16.5" customHeight="1">
      <c r="B151" s="554" t="str">
        <f>VLOOKUP(T151,Table1[],4,0)</f>
        <v xml:space="preserve">MDR TB-2⁽ᴹ⁾: Numărul cazurilor cu tuberculoză drog-rezistentă (RR-TB și/sau MDR-TB) notificate către autoritatea națională          </v>
      </c>
      <c r="C151" s="554"/>
      <c r="D151" s="554"/>
      <c r="E151" s="555" t="str">
        <f>VLOOKUP(T151,Table1[],2,0)</f>
        <v>Indicator de proces</v>
      </c>
      <c r="F151" s="557" t="str">
        <f>VLOOKUP(T151,Table1[],3,0)</f>
        <v>TB</v>
      </c>
      <c r="G151" s="192" t="s">
        <v>352</v>
      </c>
      <c r="H151" s="515">
        <v>436</v>
      </c>
      <c r="I151" s="515">
        <v>872</v>
      </c>
      <c r="J151" s="515">
        <v>426</v>
      </c>
      <c r="K151" s="515">
        <v>851</v>
      </c>
      <c r="L151" s="515">
        <v>418</v>
      </c>
      <c r="M151" s="515">
        <v>836</v>
      </c>
      <c r="N151" s="472"/>
      <c r="O151" s="472"/>
      <c r="P151" s="472"/>
      <c r="Q151" s="472"/>
      <c r="R151" s="472"/>
      <c r="S151" s="473"/>
      <c r="T151" s="416">
        <v>15</v>
      </c>
    </row>
    <row r="152" spans="2:20" ht="16.5" customHeight="1">
      <c r="B152" s="554"/>
      <c r="C152" s="554"/>
      <c r="D152" s="554"/>
      <c r="E152" s="556"/>
      <c r="F152" s="558"/>
      <c r="G152" s="536" t="s">
        <v>353</v>
      </c>
      <c r="H152" s="542">
        <v>252</v>
      </c>
      <c r="I152" s="542">
        <v>462</v>
      </c>
      <c r="J152" s="542">
        <v>211</v>
      </c>
      <c r="K152" s="542">
        <v>401</v>
      </c>
      <c r="L152" s="542">
        <v>226</v>
      </c>
      <c r="M152" s="542">
        <v>428</v>
      </c>
      <c r="N152" s="474"/>
      <c r="O152" s="474"/>
      <c r="P152" s="474"/>
      <c r="Q152" s="474"/>
      <c r="R152" s="474"/>
      <c r="S152" s="475"/>
      <c r="T152" s="416"/>
    </row>
    <row r="153" spans="2:20" ht="16.5" customHeight="1">
      <c r="B153" s="599" t="str">
        <f>VLOOKUP(T153,Table1[],4,0)</f>
        <v xml:space="preserve">MDR TB-3⁽ᴹ⁾: Numărul cazurilor cu tuberculoză drog-rezistentă (RR-TB și/sau MDR-TB), confirmate bacteriologic, care au demarat tratamentul DOTS-Plus, în perioada raportată                </v>
      </c>
      <c r="C153" s="599"/>
      <c r="D153" s="599"/>
      <c r="E153" s="550" t="str">
        <f>VLOOKUP(T153,Table1[],2,0)</f>
        <v>Indicator de proces</v>
      </c>
      <c r="F153" s="552" t="str">
        <f>VLOOKUP(T153,Table1[],3,0)</f>
        <v>TB</v>
      </c>
      <c r="G153" s="200" t="s">
        <v>352</v>
      </c>
      <c r="H153" s="515">
        <v>436</v>
      </c>
      <c r="I153" s="515">
        <v>872</v>
      </c>
      <c r="J153" s="515">
        <v>426</v>
      </c>
      <c r="K153" s="515">
        <v>851</v>
      </c>
      <c r="L153" s="515">
        <v>418</v>
      </c>
      <c r="M153" s="515">
        <v>836</v>
      </c>
      <c r="N153" s="468"/>
      <c r="O153" s="468"/>
      <c r="P153" s="468"/>
      <c r="Q153" s="468"/>
      <c r="R153" s="468"/>
      <c r="S153" s="469"/>
      <c r="T153" s="416">
        <v>16</v>
      </c>
    </row>
    <row r="154" spans="2:20" ht="16.5" customHeight="1">
      <c r="B154" s="599"/>
      <c r="C154" s="599"/>
      <c r="D154" s="599"/>
      <c r="E154" s="551"/>
      <c r="F154" s="553"/>
      <c r="G154" s="538" t="s">
        <v>353</v>
      </c>
      <c r="H154" s="542">
        <v>289</v>
      </c>
      <c r="I154" s="542">
        <v>574</v>
      </c>
      <c r="J154" s="542">
        <v>230</v>
      </c>
      <c r="K154" s="542">
        <v>490</v>
      </c>
      <c r="L154" s="542">
        <v>247</v>
      </c>
      <c r="M154" s="542">
        <v>518</v>
      </c>
      <c r="N154" s="470"/>
      <c r="O154" s="470"/>
      <c r="P154" s="470"/>
      <c r="Q154" s="470"/>
      <c r="R154" s="470"/>
      <c r="S154" s="471"/>
      <c r="T154" s="416"/>
    </row>
    <row r="155" spans="2:20" ht="16.5" customHeight="1">
      <c r="B155" s="554" t="str">
        <f>VLOOKUP(T155,Table1[],4,0)</f>
        <v>TCS-1.1⁽ᴹ⁾: Procentul persoanelor aflate în tratament ARV, din numărul total de PTH, la sfîrșitul perioadei de raportare</v>
      </c>
      <c r="C155" s="554"/>
      <c r="D155" s="554"/>
      <c r="E155" s="555" t="str">
        <f>VLOOKUP(T155,Table1[],2,0)</f>
        <v>Indicator de proces</v>
      </c>
      <c r="F155" s="557" t="str">
        <f>VLOOKUP(T155,Table1[],3,0)</f>
        <v>HIV</v>
      </c>
      <c r="G155" s="192" t="s">
        <v>352</v>
      </c>
      <c r="H155" s="464">
        <v>0.57140000000000002</v>
      </c>
      <c r="I155" s="464">
        <v>0.57140000000000002</v>
      </c>
      <c r="J155" s="464">
        <v>0.63060000000000005</v>
      </c>
      <c r="K155" s="464">
        <v>0.63060000000000005</v>
      </c>
      <c r="L155" s="464">
        <v>0.69010000000000005</v>
      </c>
      <c r="M155" s="464">
        <v>0.69010000000000005</v>
      </c>
      <c r="N155" s="472"/>
      <c r="O155" s="472"/>
      <c r="P155" s="472"/>
      <c r="Q155" s="472"/>
      <c r="R155" s="472"/>
      <c r="S155" s="473"/>
      <c r="T155" s="416">
        <v>17</v>
      </c>
    </row>
    <row r="156" spans="2:20" ht="16.5" customHeight="1">
      <c r="B156" s="554"/>
      <c r="C156" s="554"/>
      <c r="D156" s="554"/>
      <c r="E156" s="556"/>
      <c r="F156" s="558"/>
      <c r="G156" s="536" t="s">
        <v>353</v>
      </c>
      <c r="H156" s="537">
        <v>0.48649999999999999</v>
      </c>
      <c r="I156" s="537">
        <v>0.47660000000000002</v>
      </c>
      <c r="J156" s="537">
        <v>0.51600000000000001</v>
      </c>
      <c r="K156" s="537">
        <v>0.48980000000000001</v>
      </c>
      <c r="L156" s="537">
        <v>0.5635</v>
      </c>
      <c r="M156" s="537">
        <v>0.58779999999999999</v>
      </c>
      <c r="N156" s="472"/>
      <c r="O156" s="472"/>
      <c r="P156" s="472"/>
      <c r="Q156" s="472"/>
      <c r="R156" s="472"/>
      <c r="S156" s="473"/>
      <c r="T156" s="416"/>
    </row>
    <row r="157" spans="2:20" ht="16.5" customHeight="1">
      <c r="B157" s="599" t="str">
        <f>VLOOKUP(T157,Table1[],4,0)</f>
        <v xml:space="preserve">KP-1a⁽ᴹ⁾: Procentul BSB acoperiți de programele de prevenire HIV - pachet definit de servicii </v>
      </c>
      <c r="C157" s="599"/>
      <c r="D157" s="599"/>
      <c r="E157" s="550" t="str">
        <f>VLOOKUP(T157,Table1[],2,0)</f>
        <v>Indicator de proces</v>
      </c>
      <c r="F157" s="552" t="str">
        <f>VLOOKUP(T157,Table1[],3,0)</f>
        <v>HIV</v>
      </c>
      <c r="G157" s="200" t="s">
        <v>352</v>
      </c>
      <c r="H157" s="464">
        <v>0.35</v>
      </c>
      <c r="I157" s="464">
        <v>0.35</v>
      </c>
      <c r="J157" s="464">
        <v>0.40989999999999999</v>
      </c>
      <c r="K157" s="464">
        <v>0.40989999999999999</v>
      </c>
      <c r="L157" s="464">
        <v>0.46850000000000003</v>
      </c>
      <c r="M157" s="464">
        <v>0.46850000000000003</v>
      </c>
      <c r="N157" s="468"/>
      <c r="O157" s="468"/>
      <c r="P157" s="468"/>
      <c r="Q157" s="468"/>
      <c r="R157" s="468"/>
      <c r="S157" s="469"/>
      <c r="T157" s="416">
        <v>18</v>
      </c>
    </row>
    <row r="158" spans="2:20" ht="16.5" customHeight="1">
      <c r="B158" s="599"/>
      <c r="C158" s="599"/>
      <c r="D158" s="599"/>
      <c r="E158" s="551"/>
      <c r="F158" s="553"/>
      <c r="G158" s="538" t="s">
        <v>353</v>
      </c>
      <c r="H158" s="537">
        <v>0.2465</v>
      </c>
      <c r="I158" s="537">
        <v>0.29239999999999999</v>
      </c>
      <c r="J158" s="537">
        <v>0.26750000000000002</v>
      </c>
      <c r="K158" s="537">
        <v>0.33800000000000002</v>
      </c>
      <c r="L158" s="537">
        <v>0.33600000000000002</v>
      </c>
      <c r="M158" s="537">
        <v>0.3866</v>
      </c>
      <c r="N158" s="470"/>
      <c r="O158" s="470"/>
      <c r="P158" s="470"/>
      <c r="Q158" s="470"/>
      <c r="R158" s="470"/>
      <c r="S158" s="471"/>
      <c r="T158" s="416"/>
    </row>
    <row r="159" spans="2:20" ht="16.5" customHeight="1">
      <c r="B159" s="554" t="str">
        <f>VLOOKUP(T159,Table1[],4,0)</f>
        <v xml:space="preserve">KP-1c⁽ᴹ⁾: Procentul LS acoperiți de programele de prevenire HIV - pachet definit de servicii </v>
      </c>
      <c r="C159" s="554"/>
      <c r="D159" s="554"/>
      <c r="E159" s="555" t="str">
        <f>VLOOKUP(T159,Table1[],2,0)</f>
        <v>Indicator de proces</v>
      </c>
      <c r="F159" s="557" t="str">
        <f>VLOOKUP(T159,Table1[],3,0)</f>
        <v>HIV</v>
      </c>
      <c r="G159" s="192" t="s">
        <v>352</v>
      </c>
      <c r="H159" s="464">
        <v>0.53920000000000001</v>
      </c>
      <c r="I159" s="464">
        <v>0.53920000000000001</v>
      </c>
      <c r="J159" s="464">
        <v>0.60660000000000003</v>
      </c>
      <c r="K159" s="464">
        <v>0.60660000000000003</v>
      </c>
      <c r="L159" s="464">
        <v>0.67410000000000003</v>
      </c>
      <c r="M159" s="464">
        <v>0.67410000000000003</v>
      </c>
      <c r="N159" s="472"/>
      <c r="O159" s="472"/>
      <c r="P159" s="472"/>
      <c r="Q159" s="472"/>
      <c r="R159" s="472"/>
      <c r="S159" s="473"/>
      <c r="T159" s="416">
        <v>19</v>
      </c>
    </row>
    <row r="160" spans="2:20" ht="16.5" customHeight="1">
      <c r="B160" s="554"/>
      <c r="C160" s="554"/>
      <c r="D160" s="554"/>
      <c r="E160" s="556"/>
      <c r="F160" s="558"/>
      <c r="G160" s="536" t="s">
        <v>353</v>
      </c>
      <c r="H160" s="537">
        <v>0.37080000000000002</v>
      </c>
      <c r="I160" s="537">
        <v>0.48399999999999999</v>
      </c>
      <c r="J160" s="537">
        <v>0.35110000000000002</v>
      </c>
      <c r="K160" s="537">
        <v>0.4914</v>
      </c>
      <c r="L160" s="537">
        <v>0.40799999999999997</v>
      </c>
      <c r="M160" s="537">
        <v>0.53569999999999995</v>
      </c>
      <c r="N160" s="474"/>
      <c r="O160" s="474"/>
      <c r="P160" s="474"/>
      <c r="Q160" s="474"/>
      <c r="R160" s="474"/>
      <c r="S160" s="475"/>
      <c r="T160" s="416"/>
    </row>
    <row r="161" spans="2:20" ht="16.5" customHeight="1">
      <c r="B161" s="599" t="str">
        <f>VLOOKUP(T161,Table1[],4,0)</f>
        <v xml:space="preserve">KP-1d⁽ᴹ⁾: Procentul persoanelor consumatoare de droguri injectabile acoperite de programele de prevenire HIV - pachet definit de servicii </v>
      </c>
      <c r="C161" s="599"/>
      <c r="D161" s="599"/>
      <c r="E161" s="550" t="str">
        <f>VLOOKUP(T161,Table1[],2,0)</f>
        <v>Indicator de proces</v>
      </c>
      <c r="F161" s="552" t="str">
        <f>VLOOKUP(T161,Table1[],3,0)</f>
        <v>HIV</v>
      </c>
      <c r="G161" s="200" t="s">
        <v>352</v>
      </c>
      <c r="H161" s="464">
        <v>0.72130000000000005</v>
      </c>
      <c r="I161" s="464">
        <v>0.72130000000000005</v>
      </c>
      <c r="J161" s="464">
        <v>0.7833</v>
      </c>
      <c r="K161" s="464">
        <v>0.7833</v>
      </c>
      <c r="L161" s="464">
        <v>0.84540000000000004</v>
      </c>
      <c r="M161" s="464">
        <v>0.84540000000000004</v>
      </c>
      <c r="N161" s="468"/>
      <c r="O161" s="468"/>
      <c r="P161" s="468"/>
      <c r="Q161" s="468"/>
      <c r="R161" s="468"/>
      <c r="S161" s="469"/>
      <c r="T161" s="416">
        <v>20</v>
      </c>
    </row>
    <row r="162" spans="2:20" ht="16.5" customHeight="1">
      <c r="B162" s="599"/>
      <c r="C162" s="599"/>
      <c r="D162" s="599"/>
      <c r="E162" s="551"/>
      <c r="F162" s="553"/>
      <c r="G162" s="538" t="s">
        <v>353</v>
      </c>
      <c r="H162" s="537">
        <v>0.53039999999999998</v>
      </c>
      <c r="I162" s="537">
        <v>0.59219999999999995</v>
      </c>
      <c r="J162" s="537">
        <v>0.51700000000000002</v>
      </c>
      <c r="K162" s="537">
        <v>0.61699999999999999</v>
      </c>
      <c r="L162" s="537">
        <v>0.56000000000000005</v>
      </c>
      <c r="M162" s="537">
        <v>0.63070000000000004</v>
      </c>
      <c r="N162" s="470"/>
      <c r="O162" s="470"/>
      <c r="P162" s="470"/>
      <c r="Q162" s="470"/>
      <c r="R162" s="470"/>
      <c r="S162" s="471"/>
      <c r="T162" s="416"/>
    </row>
    <row r="163" spans="2:20" ht="16.5" customHeight="1">
      <c r="B163" s="554" t="str">
        <f>VLOOKUP(T163,Table1[],4,0)</f>
        <v>HTS-3a⁽ᴹ⁾: Procentul BSB care au fost testați pentru HIV, în perioada de raportare, și își cunosc rezultatele</v>
      </c>
      <c r="C163" s="554"/>
      <c r="D163" s="554"/>
      <c r="E163" s="555" t="str">
        <f>VLOOKUP(T163,Table1[],2,0)</f>
        <v>Indicator de proces</v>
      </c>
      <c r="F163" s="557" t="str">
        <f>VLOOKUP(T163,Table1[],3,0)</f>
        <v>HIV</v>
      </c>
      <c r="G163" s="192" t="s">
        <v>352</v>
      </c>
      <c r="H163" s="464">
        <v>0.32019999999999998</v>
      </c>
      <c r="I163" s="464">
        <v>0.32019999999999998</v>
      </c>
      <c r="J163" s="464">
        <v>0.37359999999999999</v>
      </c>
      <c r="K163" s="464">
        <v>0.37359999999999999</v>
      </c>
      <c r="L163" s="464">
        <v>0.42699999999999999</v>
      </c>
      <c r="M163" s="464">
        <v>0.42699999999999999</v>
      </c>
      <c r="N163" s="472"/>
      <c r="O163" s="472"/>
      <c r="P163" s="472"/>
      <c r="Q163" s="472"/>
      <c r="R163" s="472"/>
      <c r="S163" s="473"/>
      <c r="T163" s="416">
        <v>21</v>
      </c>
    </row>
    <row r="164" spans="2:20" ht="16.5" customHeight="1">
      <c r="B164" s="554"/>
      <c r="C164" s="554"/>
      <c r="D164" s="554"/>
      <c r="E164" s="556"/>
      <c r="F164" s="558"/>
      <c r="G164" s="536" t="s">
        <v>353</v>
      </c>
      <c r="H164" s="537">
        <v>0.14799999999999999</v>
      </c>
      <c r="I164" s="537">
        <v>0.30399999999999999</v>
      </c>
      <c r="J164" s="537">
        <v>0.17599999999999999</v>
      </c>
      <c r="K164" s="537">
        <v>0.2797</v>
      </c>
      <c r="L164" s="537">
        <v>0.14330000000000001</v>
      </c>
      <c r="M164" s="537">
        <v>0.24660000000000001</v>
      </c>
      <c r="N164" s="474"/>
      <c r="O164" s="474"/>
      <c r="P164" s="474"/>
      <c r="Q164" s="474"/>
      <c r="R164" s="474"/>
      <c r="S164" s="475"/>
      <c r="T164" s="416"/>
    </row>
    <row r="165" spans="2:20" ht="16.5" customHeight="1">
      <c r="B165" s="599" t="str">
        <f>VLOOKUP(T165,Table1[],4,0)</f>
        <v>HTS-3c⁽ᴹ⁾: Procentul LS care au fost testați pentru HIV, în perioada de raportare, și își cunosc rezultatele</v>
      </c>
      <c r="C165" s="599"/>
      <c r="D165" s="599"/>
      <c r="E165" s="550" t="str">
        <f>VLOOKUP(T165,Table1[],2,0)</f>
        <v>Indicator de proces</v>
      </c>
      <c r="F165" s="552" t="str">
        <f>VLOOKUP(T165,Table1[],3,0)</f>
        <v>HIV</v>
      </c>
      <c r="G165" s="200" t="s">
        <v>352</v>
      </c>
      <c r="H165" s="464">
        <v>0.48680000000000001</v>
      </c>
      <c r="I165" s="464">
        <v>0.48680000000000001</v>
      </c>
      <c r="J165" s="464">
        <v>0.54759999999999998</v>
      </c>
      <c r="K165" s="464">
        <v>0.54759999999999998</v>
      </c>
      <c r="L165" s="464">
        <v>0.60850000000000004</v>
      </c>
      <c r="M165" s="464">
        <v>0.60850000000000004</v>
      </c>
      <c r="N165" s="468"/>
      <c r="O165" s="468"/>
      <c r="P165" s="468"/>
      <c r="Q165" s="468"/>
      <c r="R165" s="468"/>
      <c r="S165" s="469"/>
      <c r="T165" s="416">
        <v>22</v>
      </c>
    </row>
    <row r="166" spans="2:20" ht="16.5" customHeight="1">
      <c r="B166" s="599"/>
      <c r="C166" s="599"/>
      <c r="D166" s="599"/>
      <c r="E166" s="551"/>
      <c r="F166" s="553"/>
      <c r="G166" s="538" t="s">
        <v>353</v>
      </c>
      <c r="H166" s="537">
        <v>0.22919999999999999</v>
      </c>
      <c r="I166" s="537">
        <v>0.372</v>
      </c>
      <c r="J166" s="537">
        <v>0.20200000000000001</v>
      </c>
      <c r="K166" s="537">
        <v>0.42530000000000001</v>
      </c>
      <c r="L166" s="537">
        <v>0.26400000000000001</v>
      </c>
      <c r="M166" s="537">
        <v>0.41710000000000003</v>
      </c>
      <c r="N166" s="470"/>
      <c r="O166" s="470"/>
      <c r="P166" s="470"/>
      <c r="Q166" s="470"/>
      <c r="R166" s="470"/>
      <c r="S166" s="471"/>
      <c r="T166" s="416"/>
    </row>
    <row r="167" spans="2:20" ht="16.5" customHeight="1">
      <c r="B167" s="554" t="str">
        <f>VLOOKUP(T167,Table1[],4,0)</f>
        <v>HTS-3d⁽ᴹ⁾: Procentul PCDI care au fost testate pentru HIV, în perioada de raportare, și își cunosc rezultatele</v>
      </c>
      <c r="C167" s="554"/>
      <c r="D167" s="554"/>
      <c r="E167" s="555" t="str">
        <f>VLOOKUP(T167,Table1[],2,0)</f>
        <v>Indicator de proces</v>
      </c>
      <c r="F167" s="557" t="str">
        <f>VLOOKUP(T167,Table1[],3,0)</f>
        <v>HIV</v>
      </c>
      <c r="G167" s="192" t="s">
        <v>352</v>
      </c>
      <c r="H167" s="464">
        <v>0.61150000000000004</v>
      </c>
      <c r="I167" s="464">
        <v>0.61150000000000004</v>
      </c>
      <c r="J167" s="464">
        <v>0.67259999999999998</v>
      </c>
      <c r="K167" s="464">
        <v>0.67259999999999998</v>
      </c>
      <c r="L167" s="464">
        <v>0.73380000000000001</v>
      </c>
      <c r="M167" s="464">
        <v>0.73380000000000001</v>
      </c>
      <c r="N167" s="472"/>
      <c r="O167" s="472"/>
      <c r="P167" s="472"/>
      <c r="Q167" s="472"/>
      <c r="R167" s="472"/>
      <c r="S167" s="473"/>
      <c r="T167" s="416">
        <v>23</v>
      </c>
    </row>
    <row r="168" spans="2:20" ht="16.5" customHeight="1">
      <c r="B168" s="554"/>
      <c r="C168" s="554"/>
      <c r="D168" s="554"/>
      <c r="E168" s="556"/>
      <c r="F168" s="558"/>
      <c r="G168" s="536" t="s">
        <v>353</v>
      </c>
      <c r="H168" s="537">
        <v>0.20930000000000001</v>
      </c>
      <c r="I168" s="537">
        <v>0.34499999999999997</v>
      </c>
      <c r="J168" s="537">
        <v>0.23100000000000001</v>
      </c>
      <c r="K168" s="537">
        <v>0.4345</v>
      </c>
      <c r="L168" s="537">
        <v>0.28499999999999998</v>
      </c>
      <c r="M168" s="537">
        <v>0.38819999999999999</v>
      </c>
      <c r="N168" s="474"/>
      <c r="O168" s="474"/>
      <c r="P168" s="474"/>
      <c r="Q168" s="474"/>
      <c r="R168" s="474"/>
      <c r="S168" s="475"/>
      <c r="T168" s="416"/>
    </row>
    <row r="169" spans="2:20" ht="16.5" customHeight="1">
      <c r="B169" s="599" t="str">
        <f>VLOOKUP(T169,Table1[],4,0)</f>
        <v>HTS-3f⁽ᴹ⁾: Numărul deținuților care au fost testați pentru HIV, în perioada de raportare, și își cunosc rezultatele</v>
      </c>
      <c r="C169" s="599"/>
      <c r="D169" s="599"/>
      <c r="E169" s="550" t="str">
        <f>VLOOKUP(T169,Table1[],2,0)</f>
        <v>Indicator de proces</v>
      </c>
      <c r="F169" s="552" t="str">
        <f>VLOOKUP(T169,Table1[],3,0)</f>
        <v>HIV</v>
      </c>
      <c r="G169" s="192" t="s">
        <v>352</v>
      </c>
      <c r="H169" s="515">
        <v>4024</v>
      </c>
      <c r="I169" s="515">
        <v>4024</v>
      </c>
      <c r="J169" s="515">
        <v>4322</v>
      </c>
      <c r="K169" s="515">
        <v>4322</v>
      </c>
      <c r="L169" s="515">
        <v>4619</v>
      </c>
      <c r="M169" s="515">
        <v>4619</v>
      </c>
      <c r="N169" s="468"/>
      <c r="O169" s="468"/>
      <c r="P169" s="468"/>
      <c r="Q169" s="468"/>
      <c r="R169" s="468"/>
      <c r="S169" s="469"/>
      <c r="T169" s="416">
        <v>24</v>
      </c>
    </row>
    <row r="170" spans="2:20" ht="16.5" customHeight="1">
      <c r="B170" s="599"/>
      <c r="C170" s="599"/>
      <c r="D170" s="599"/>
      <c r="E170" s="551"/>
      <c r="F170" s="553"/>
      <c r="G170" s="538" t="s">
        <v>353</v>
      </c>
      <c r="H170" s="542">
        <v>1534</v>
      </c>
      <c r="I170" s="542">
        <v>3968</v>
      </c>
      <c r="J170" s="542">
        <v>1923</v>
      </c>
      <c r="K170" s="542">
        <v>5373</v>
      </c>
      <c r="L170" s="542">
        <v>3153</v>
      </c>
      <c r="M170" s="542">
        <v>4887</v>
      </c>
      <c r="N170" s="470"/>
      <c r="O170" s="470"/>
      <c r="P170" s="470"/>
      <c r="Q170" s="470"/>
      <c r="R170" s="470"/>
      <c r="S170" s="471"/>
      <c r="T170" s="416"/>
    </row>
    <row r="171" spans="2:20">
      <c r="B171" s="599" t="str">
        <f>VLOOKUP(T171,Table1[],4,0)</f>
        <v>KP-6a: Procentul BSB eligibili, care au inițiat tratamentul oral antiretroviral PrEP, în perioada de raportare</v>
      </c>
      <c r="C171" s="599"/>
      <c r="D171" s="599"/>
      <c r="E171" s="550" t="str">
        <f>VLOOKUP(T171,Table1[],2,0)</f>
        <v>Indicator de proces</v>
      </c>
      <c r="F171" s="552" t="str">
        <f>VLOOKUP(T171,Table1[],3,0)</f>
        <v>HIV</v>
      </c>
      <c r="G171" s="200" t="s">
        <v>352</v>
      </c>
      <c r="H171" s="464">
        <v>5.0900000000000001E-2</v>
      </c>
      <c r="I171" s="464">
        <v>5.0900000000000001E-2</v>
      </c>
      <c r="J171" s="464">
        <v>7.2800000000000004E-2</v>
      </c>
      <c r="K171" s="464">
        <v>7.2800000000000004E-2</v>
      </c>
      <c r="L171" s="464">
        <v>9.4899999999999998E-2</v>
      </c>
      <c r="M171" s="464">
        <v>9.4899999999999998E-2</v>
      </c>
      <c r="N171" s="468"/>
      <c r="O171" s="468"/>
      <c r="P171" s="468"/>
      <c r="Q171" s="468"/>
      <c r="R171" s="468"/>
      <c r="S171" s="469"/>
      <c r="T171" s="416">
        <v>25</v>
      </c>
    </row>
    <row r="172" spans="2:20" ht="15.75" thickBot="1">
      <c r="B172" s="599"/>
      <c r="C172" s="599"/>
      <c r="D172" s="599"/>
      <c r="E172" s="551"/>
      <c r="F172" s="553"/>
      <c r="G172" s="538" t="s">
        <v>353</v>
      </c>
      <c r="H172" s="537">
        <v>0.04</v>
      </c>
      <c r="I172" s="537">
        <v>5.5E-2</v>
      </c>
      <c r="J172" s="537">
        <v>5.7700000000000001E-2</v>
      </c>
      <c r="K172" s="537">
        <v>6.3100000000000003E-2</v>
      </c>
      <c r="L172" s="537">
        <v>6.4199999999999993E-2</v>
      </c>
      <c r="M172" s="537">
        <v>7.1400000000000005E-2</v>
      </c>
      <c r="N172" s="470"/>
      <c r="O172" s="470"/>
      <c r="P172" s="470"/>
      <c r="Q172" s="470"/>
      <c r="R172" s="470"/>
      <c r="S172" s="471"/>
    </row>
    <row r="173" spans="2:20" ht="41.25" hidden="1" customHeight="1">
      <c r="B173" t="s">
        <v>400</v>
      </c>
      <c r="E173" s="152" t="s">
        <v>354</v>
      </c>
      <c r="F173" s="203" t="s">
        <v>355</v>
      </c>
      <c r="G173" s="117"/>
      <c r="H173" s="414" t="str">
        <f t="shared" ref="H173:S173" si="7">C30</f>
        <v>P1</v>
      </c>
      <c r="I173" s="414" t="str">
        <f t="shared" si="7"/>
        <v>P2</v>
      </c>
      <c r="J173" s="414" t="str">
        <f t="shared" si="7"/>
        <v>P3</v>
      </c>
      <c r="K173" s="414" t="str">
        <f t="shared" si="7"/>
        <v>P4</v>
      </c>
      <c r="L173" s="414" t="str">
        <f t="shared" si="7"/>
        <v>P5</v>
      </c>
      <c r="M173" s="414" t="str">
        <f t="shared" si="7"/>
        <v>P6</v>
      </c>
      <c r="N173" s="414" t="str">
        <f t="shared" si="7"/>
        <v>P7</v>
      </c>
      <c r="O173" s="414" t="str">
        <f t="shared" si="7"/>
        <v>P8</v>
      </c>
      <c r="P173" s="414" t="str">
        <f t="shared" si="7"/>
        <v>P9</v>
      </c>
      <c r="Q173" s="414" t="str">
        <f t="shared" si="7"/>
        <v>P10</v>
      </c>
      <c r="R173" s="414" t="str">
        <f t="shared" si="7"/>
        <v>P11</v>
      </c>
      <c r="S173" s="415" t="str">
        <f t="shared" si="7"/>
        <v>P12</v>
      </c>
    </row>
    <row r="174" spans="2:20" ht="25.5" hidden="1" customHeight="1">
      <c r="B174" s="585" t="str">
        <f>IF(ISBLANK(B123),"",(B123))</f>
        <v>TB I-3(M): Rata mortalităţii prin TB la 100,000 populație</v>
      </c>
      <c r="C174" s="602"/>
      <c r="D174" s="603"/>
      <c r="E174" s="615" t="str">
        <f>IF(ISBLANK(E123),"",(E123))</f>
        <v>Indicator de impact</v>
      </c>
      <c r="F174" s="614" t="str">
        <f>IF(ISBLANK(F123),"",(F123))</f>
        <v>TB</v>
      </c>
      <c r="G174" s="199" t="s">
        <v>352</v>
      </c>
      <c r="H174" s="284">
        <f t="shared" ref="H174:L179" si="8">H123</f>
        <v>7.2</v>
      </c>
      <c r="I174" s="284">
        <f t="shared" si="8"/>
        <v>5.8</v>
      </c>
      <c r="J174" s="284">
        <f t="shared" si="8"/>
        <v>5.8</v>
      </c>
      <c r="K174" s="284">
        <f t="shared" si="8"/>
        <v>5</v>
      </c>
      <c r="L174" s="284">
        <f t="shared" si="8"/>
        <v>5</v>
      </c>
      <c r="M174" s="284">
        <f t="shared" ref="M174:S179" si="9">M123</f>
        <v>4.3</v>
      </c>
      <c r="N174" s="284">
        <f t="shared" si="9"/>
        <v>4.3</v>
      </c>
      <c r="O174" s="284">
        <f t="shared" si="9"/>
        <v>0</v>
      </c>
      <c r="P174" s="284">
        <f t="shared" si="9"/>
        <v>0</v>
      </c>
      <c r="Q174" s="284">
        <f t="shared" si="9"/>
        <v>0</v>
      </c>
      <c r="R174" s="284">
        <f t="shared" si="9"/>
        <v>0</v>
      </c>
      <c r="S174" s="285">
        <f t="shared" si="9"/>
        <v>0</v>
      </c>
    </row>
    <row r="175" spans="2:20" ht="25.5" hidden="1" customHeight="1">
      <c r="B175" s="604"/>
      <c r="C175" s="605"/>
      <c r="D175" s="606"/>
      <c r="E175" s="615"/>
      <c r="F175" s="614"/>
      <c r="G175" s="199" t="s">
        <v>353</v>
      </c>
      <c r="H175" s="286">
        <f t="shared" si="8"/>
        <v>3.6</v>
      </c>
      <c r="I175" s="286">
        <f t="shared" si="8"/>
        <v>4.87</v>
      </c>
      <c r="J175" s="286">
        <f t="shared" si="8"/>
        <v>4.87</v>
      </c>
      <c r="K175" s="286">
        <f t="shared" si="8"/>
        <v>5.19</v>
      </c>
      <c r="L175" s="286">
        <f t="shared" si="8"/>
        <v>5.19</v>
      </c>
      <c r="M175" s="284">
        <f t="shared" si="9"/>
        <v>4.7</v>
      </c>
      <c r="N175" s="284">
        <f t="shared" si="9"/>
        <v>0</v>
      </c>
      <c r="O175" s="284">
        <f t="shared" si="9"/>
        <v>0</v>
      </c>
      <c r="P175" s="284">
        <f t="shared" si="9"/>
        <v>0</v>
      </c>
      <c r="Q175" s="284">
        <f t="shared" si="9"/>
        <v>0</v>
      </c>
      <c r="R175" s="284">
        <f t="shared" si="9"/>
        <v>0</v>
      </c>
      <c r="S175" s="285">
        <f t="shared" si="9"/>
        <v>0</v>
      </c>
    </row>
    <row r="176" spans="2:20" ht="26.25" hidden="1" customHeight="1">
      <c r="B176" s="592" t="str">
        <f>IF(ISBLANK(B125),"",(B125))</f>
        <v xml:space="preserve">TB I-4(M): Prevalența RR-TB și/sau MDR-TB printre cazurile noi de tuberculoză </v>
      </c>
      <c r="C176" s="593"/>
      <c r="D176" s="594"/>
      <c r="E176" s="591" t="str">
        <f>IF(ISBLANK(E125),"",(E125))</f>
        <v>Indicator de impact</v>
      </c>
      <c r="F176" s="613" t="str">
        <f>IF(ISBLANK(F125),"",(F125))</f>
        <v>TB</v>
      </c>
      <c r="G176" s="200" t="s">
        <v>352</v>
      </c>
      <c r="H176" s="287">
        <f t="shared" si="8"/>
        <v>21</v>
      </c>
      <c r="I176" s="287">
        <f t="shared" si="8"/>
        <v>24.29</v>
      </c>
      <c r="J176" s="287">
        <f t="shared" si="8"/>
        <v>24.3</v>
      </c>
      <c r="K176" s="287">
        <f t="shared" si="8"/>
        <v>23.07</v>
      </c>
      <c r="L176" s="287">
        <f t="shared" si="8"/>
        <v>23.07</v>
      </c>
      <c r="M176" s="287">
        <f t="shared" si="9"/>
        <v>21.92</v>
      </c>
      <c r="N176" s="287">
        <f t="shared" si="9"/>
        <v>21.92</v>
      </c>
      <c r="O176" s="287">
        <f t="shared" si="9"/>
        <v>0</v>
      </c>
      <c r="P176" s="287">
        <f t="shared" si="9"/>
        <v>0</v>
      </c>
      <c r="Q176" s="287">
        <f t="shared" si="9"/>
        <v>0</v>
      </c>
      <c r="R176" s="287">
        <f t="shared" si="9"/>
        <v>0</v>
      </c>
      <c r="S176" s="288">
        <f t="shared" si="9"/>
        <v>0</v>
      </c>
    </row>
    <row r="177" spans="2:19" ht="28.5" hidden="1" customHeight="1">
      <c r="B177" s="595"/>
      <c r="C177" s="596"/>
      <c r="D177" s="597"/>
      <c r="E177" s="591"/>
      <c r="F177" s="613"/>
      <c r="G177" s="200" t="s">
        <v>353</v>
      </c>
      <c r="H177" s="287">
        <f t="shared" si="8"/>
        <v>27.92</v>
      </c>
      <c r="I177" s="287">
        <f t="shared" si="8"/>
        <v>28.35</v>
      </c>
      <c r="J177" s="287">
        <f t="shared" si="8"/>
        <v>28.35</v>
      </c>
      <c r="K177" s="287">
        <f t="shared" si="8"/>
        <v>23.4</v>
      </c>
      <c r="L177" s="287">
        <f t="shared" si="8"/>
        <v>23.4</v>
      </c>
      <c r="M177" s="287">
        <f t="shared" si="9"/>
        <v>24.66</v>
      </c>
      <c r="N177" s="287">
        <f t="shared" si="9"/>
        <v>0</v>
      </c>
      <c r="O177" s="287">
        <f t="shared" si="9"/>
        <v>0</v>
      </c>
      <c r="P177" s="287">
        <f t="shared" si="9"/>
        <v>0</v>
      </c>
      <c r="Q177" s="287">
        <f t="shared" si="9"/>
        <v>0</v>
      </c>
      <c r="R177" s="287">
        <f t="shared" si="9"/>
        <v>0</v>
      </c>
      <c r="S177" s="288">
        <f t="shared" si="9"/>
        <v>0</v>
      </c>
    </row>
    <row r="178" spans="2:19" ht="31.5" hidden="1" customHeight="1">
      <c r="B178" s="585" t="str">
        <f>IF(ISBLANK(B127),"",(B127))</f>
        <v>HIV I-4: Mortalitatea asociată cu SIDA la 100,000 populaţie</v>
      </c>
      <c r="C178" s="586"/>
      <c r="D178" s="587"/>
      <c r="E178" s="609" t="str">
        <f>IF(ISBLANK(E127),"",(E127))</f>
        <v>Indicator de impact</v>
      </c>
      <c r="F178" s="607" t="str">
        <f>IF(ISBLANK(F127),"",(F127))</f>
        <v>HIV</v>
      </c>
      <c r="G178" s="199" t="s">
        <v>352</v>
      </c>
      <c r="H178" s="284" t="str">
        <f t="shared" si="8"/>
        <v>n/a</v>
      </c>
      <c r="I178" s="284">
        <f t="shared" ref="I178:L179" si="10">I127</f>
        <v>9.69</v>
      </c>
      <c r="J178" s="284">
        <f t="shared" si="10"/>
        <v>9.69</v>
      </c>
      <c r="K178" s="284">
        <f t="shared" si="10"/>
        <v>9.6199999999999992</v>
      </c>
      <c r="L178" s="284">
        <f t="shared" si="10"/>
        <v>9.6199999999999992</v>
      </c>
      <c r="M178" s="284">
        <f t="shared" si="9"/>
        <v>9.5500000000000007</v>
      </c>
      <c r="N178" s="284">
        <f t="shared" si="9"/>
        <v>9.5500000000000007</v>
      </c>
      <c r="O178" s="284">
        <f t="shared" si="9"/>
        <v>0</v>
      </c>
      <c r="P178" s="284">
        <f t="shared" si="9"/>
        <v>0</v>
      </c>
      <c r="Q178" s="284">
        <f t="shared" si="9"/>
        <v>0</v>
      </c>
      <c r="R178" s="284">
        <f t="shared" si="9"/>
        <v>0</v>
      </c>
      <c r="S178" s="285">
        <f t="shared" si="9"/>
        <v>0</v>
      </c>
    </row>
    <row r="179" spans="2:19" ht="30.75" hidden="1" customHeight="1" thickBot="1">
      <c r="B179" s="588"/>
      <c r="C179" s="589"/>
      <c r="D179" s="590"/>
      <c r="E179" s="610"/>
      <c r="F179" s="608"/>
      <c r="G179" s="204" t="s">
        <v>353</v>
      </c>
      <c r="H179" s="289">
        <f t="shared" si="8"/>
        <v>14.32</v>
      </c>
      <c r="I179" s="289" t="str">
        <f t="shared" si="10"/>
        <v>n/a</v>
      </c>
      <c r="J179" s="289">
        <f t="shared" si="10"/>
        <v>16.010000000000002</v>
      </c>
      <c r="K179" s="289" t="str">
        <f t="shared" si="10"/>
        <v>n/a</v>
      </c>
      <c r="L179" s="289">
        <f t="shared" si="10"/>
        <v>15.71</v>
      </c>
      <c r="M179" s="289" t="str">
        <f t="shared" si="9"/>
        <v>n/a</v>
      </c>
      <c r="N179" s="289">
        <f t="shared" si="9"/>
        <v>0</v>
      </c>
      <c r="O179" s="289">
        <f t="shared" si="9"/>
        <v>0</v>
      </c>
      <c r="P179" s="289">
        <f t="shared" si="9"/>
        <v>0</v>
      </c>
      <c r="Q179" s="289">
        <f t="shared" si="9"/>
        <v>0</v>
      </c>
      <c r="R179" s="289">
        <f t="shared" si="9"/>
        <v>0</v>
      </c>
      <c r="S179" s="290">
        <f t="shared" si="9"/>
        <v>0</v>
      </c>
    </row>
    <row r="180" spans="2:19">
      <c r="S180" s="417"/>
    </row>
  </sheetData>
  <autoFilter ref="B122:S122" xr:uid="{00000000-0001-0000-0200-000000000000}">
    <filterColumn colId="0" showButton="0"/>
    <filterColumn colId="1" showButton="0"/>
  </autoFilter>
  <dataConsolidate/>
  <mergeCells count="116">
    <mergeCell ref="B171:D172"/>
    <mergeCell ref="E171:E172"/>
    <mergeCell ref="F171:F172"/>
    <mergeCell ref="B161:D162"/>
    <mergeCell ref="E161:E162"/>
    <mergeCell ref="F161:F162"/>
    <mergeCell ref="B163:D164"/>
    <mergeCell ref="E163:E164"/>
    <mergeCell ref="F163:F164"/>
    <mergeCell ref="B169:D170"/>
    <mergeCell ref="E169:E170"/>
    <mergeCell ref="F169:F170"/>
    <mergeCell ref="B165:D166"/>
    <mergeCell ref="E165:E166"/>
    <mergeCell ref="F165:F166"/>
    <mergeCell ref="B167:D168"/>
    <mergeCell ref="E167:E168"/>
    <mergeCell ref="F167:F168"/>
    <mergeCell ref="B149:D150"/>
    <mergeCell ref="E149:E150"/>
    <mergeCell ref="F149:F150"/>
    <mergeCell ref="B151:D152"/>
    <mergeCell ref="E151:E152"/>
    <mergeCell ref="F151:F152"/>
    <mergeCell ref="E159:E160"/>
    <mergeCell ref="F159:F160"/>
    <mergeCell ref="B153:D154"/>
    <mergeCell ref="E153:E154"/>
    <mergeCell ref="F153:F154"/>
    <mergeCell ref="B155:D156"/>
    <mergeCell ref="E155:E156"/>
    <mergeCell ref="F155:F156"/>
    <mergeCell ref="B157:D158"/>
    <mergeCell ref="E157:E158"/>
    <mergeCell ref="F157:F158"/>
    <mergeCell ref="B159:D160"/>
    <mergeCell ref="B145:D146"/>
    <mergeCell ref="E145:E146"/>
    <mergeCell ref="F145:F146"/>
    <mergeCell ref="B147:D148"/>
    <mergeCell ref="E147:E148"/>
    <mergeCell ref="F147:F148"/>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78:C78"/>
    <mergeCell ref="B122:D122"/>
    <mergeCell ref="B26:C26"/>
    <mergeCell ref="D24:E24"/>
    <mergeCell ref="B29:N29"/>
    <mergeCell ref="B66:D66"/>
    <mergeCell ref="G24:H24"/>
    <mergeCell ref="I24:J24"/>
    <mergeCell ref="B127:D128"/>
    <mergeCell ref="B18:C18"/>
    <mergeCell ref="D18:F18"/>
    <mergeCell ref="B21:J21"/>
    <mergeCell ref="E10:F10"/>
    <mergeCell ref="B178:D179"/>
    <mergeCell ref="E176:E177"/>
    <mergeCell ref="B176:D177"/>
    <mergeCell ref="B131:D132"/>
    <mergeCell ref="B133:D134"/>
    <mergeCell ref="B137:D138"/>
    <mergeCell ref="E131:E132"/>
    <mergeCell ref="E133:E134"/>
    <mergeCell ref="B139:D140"/>
    <mergeCell ref="B174:D175"/>
    <mergeCell ref="E139:E140"/>
    <mergeCell ref="B135:D136"/>
    <mergeCell ref="F178:F179"/>
    <mergeCell ref="E178:E179"/>
    <mergeCell ref="F137:F138"/>
    <mergeCell ref="E137:E138"/>
    <mergeCell ref="F135:F136"/>
    <mergeCell ref="E135:E136"/>
    <mergeCell ref="F176:F177"/>
    <mergeCell ref="F174:F175"/>
    <mergeCell ref="F139:F140"/>
    <mergeCell ref="E174:E175"/>
    <mergeCell ref="B141:D142"/>
    <mergeCell ref="E141:E142"/>
    <mergeCell ref="F141:F142"/>
    <mergeCell ref="B143:D144"/>
    <mergeCell ref="E143:E144"/>
    <mergeCell ref="F143:F144"/>
    <mergeCell ref="B129:D130"/>
    <mergeCell ref="O31:O34"/>
    <mergeCell ref="E123:E124"/>
    <mergeCell ref="F123:F124"/>
    <mergeCell ref="F125:F126"/>
    <mergeCell ref="E125:E126"/>
    <mergeCell ref="F133:F134"/>
    <mergeCell ref="B123:D124"/>
    <mergeCell ref="F127:F128"/>
    <mergeCell ref="B125:D126"/>
    <mergeCell ref="B79:C79"/>
    <mergeCell ref="E129:E130"/>
    <mergeCell ref="F129:F130"/>
    <mergeCell ref="E127:E128"/>
    <mergeCell ref="B77:C77"/>
    <mergeCell ref="F131:F132"/>
    <mergeCell ref="B114:B117"/>
  </mergeCells>
  <phoneticPr fontId="23" type="noConversion"/>
  <conditionalFormatting sqref="B32 E32:F32 H32 D33:N33 B34">
    <cfRule type="expression" dxfId="42" priority="9" stopIfTrue="1">
      <formula>+AND(B31&gt;=#REF!,B31&lt;=#REF!)</formula>
    </cfRule>
  </conditionalFormatting>
  <conditionalFormatting sqref="C34">
    <cfRule type="expression" dxfId="41" priority="4" stopIfTrue="1">
      <formula>+AND(C32&gt;=#REF!,C32&lt;=#REF!)</formula>
    </cfRule>
  </conditionalFormatting>
  <conditionalFormatting sqref="C12:D12">
    <cfRule type="cellIs" dxfId="40" priority="15" stopIfTrue="1" operator="equal">
      <formula>"C"</formula>
    </cfRule>
    <cfRule type="cellIs" dxfId="39" priority="16" stopIfTrue="1" operator="equal">
      <formula>"B2"</formula>
    </cfRule>
    <cfRule type="cellIs" dxfId="38" priority="17" stopIfTrue="1" operator="equal">
      <formula>"B1"</formula>
    </cfRule>
  </conditionalFormatting>
  <conditionalFormatting sqref="C30:N30 C100:N100">
    <cfRule type="cellIs" dxfId="37" priority="13" stopIfTrue="1" operator="equal">
      <formula>$C$16</formula>
    </cfRule>
  </conditionalFormatting>
  <conditionalFormatting sqref="D34:N34">
    <cfRule type="expression" dxfId="36" priority="10" stopIfTrue="1">
      <formula>+AND(D32&gt;=#REF!,D32&lt;=#REF!)</formula>
    </cfRule>
  </conditionalFormatting>
  <conditionalFormatting sqref="F39:F51">
    <cfRule type="cellIs" dxfId="35" priority="2" operator="greaterThan">
      <formula>1.05</formula>
    </cfRule>
    <cfRule type="cellIs" dxfId="34" priority="3" operator="lessThan">
      <formula>0.7</formula>
    </cfRule>
  </conditionalFormatting>
  <conditionalFormatting sqref="G32">
    <cfRule type="expression" dxfId="33" priority="1" stopIfTrue="1">
      <formula>+AND(G31&gt;=#REF!,G31&lt;=#REF!)</formula>
    </cfRule>
  </conditionalFormatting>
  <conditionalFormatting sqref="H122:S122 H173:S173">
    <cfRule type="cellIs" dxfId="32" priority="24" stopIfTrue="1" operator="equal">
      <formula>$C$16</formula>
    </cfRule>
  </conditionalFormatting>
  <dataValidations disablePrompts="1" count="9">
    <dataValidation type="list" allowBlank="1" showInputMessage="1" showErrorMessage="1" sqref="B114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4:C117" xr:uid="{00000000-0002-0000-0200-000008000000}">
      <formula1>Medicaments</formula1>
    </dataValidation>
  </dataValidations>
  <pageMargins left="0.70866141732283472" right="0.70866141732283472" top="0.74803149606299213" bottom="0.74803149606299213" header="0.31496062992125984" footer="0.31496062992125984"/>
  <pageSetup paperSize="8" scale="39" fitToWidth="0" orientation="portrait" r:id="rId1"/>
  <headerFooter>
    <oddFooter>&amp;L&amp;F&amp;C&amp;A&amp;RV1.0          &amp;D</oddFooter>
  </headerFooter>
  <rowBreaks count="2" manualBreakCount="2">
    <brk id="54" max="16383" man="1"/>
    <brk id="110" max="14" man="1"/>
  </rowBreaks>
  <ignoredErrors>
    <ignoredError sqref="H173:S173 E17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7"/>
  <sheetViews>
    <sheetView showGridLines="0" zoomScale="110" zoomScaleNormal="110" zoomScaleSheetLayoutView="100" workbookViewId="0">
      <selection activeCell="G13" sqref="G13:J13"/>
    </sheetView>
  </sheetViews>
  <sheetFormatPr defaultColWidth="11.42578125" defaultRowHeight="15"/>
  <cols>
    <col min="1" max="1" width="22.5703125" customWidth="1"/>
    <col min="2" max="2" width="12.5703125" customWidth="1"/>
    <col min="3" max="3" width="20.5703125" customWidth="1"/>
    <col min="4" max="4" width="21.5703125" customWidth="1"/>
    <col min="5" max="5" width="11.7109375" customWidth="1"/>
    <col min="6" max="6" width="10.7109375" customWidth="1"/>
    <col min="7" max="7" width="11.7109375" customWidth="1"/>
    <col min="8" max="8" width="15" customWidth="1"/>
    <col min="9" max="9" width="9.42578125" customWidth="1"/>
    <col min="10" max="10" width="13" customWidth="1"/>
    <col min="11" max="11" width="11.42578125" customWidth="1"/>
    <col min="12" max="12" width="8.140625" customWidth="1"/>
    <col min="13" max="13" width="9.7109375" customWidth="1"/>
    <col min="14" max="14" width="8.5703125" customWidth="1"/>
    <col min="15" max="15" width="7.140625" customWidth="1"/>
  </cols>
  <sheetData>
    <row r="1" spans="1:24" ht="21" customHeight="1">
      <c r="G1" s="127"/>
    </row>
    <row r="2" spans="1:24" ht="25.5" customHeight="1"/>
    <row r="3" spans="1:24" ht="36">
      <c r="B3" s="654" t="str">
        <f>+"Tabel Programatic de Evaluare: "&amp;" "&amp;+IF('Introducerea datelor'!C4="Please Select","",'Introducerea datelor'!C4&amp;" - ")&amp;+IF('Introducerea datelor'!G6="Please Select","",'Introducerea datelor'!G6)</f>
        <v>Tabel Programatic de Evaluare:  Moldova - HIVAIDS / TB</v>
      </c>
      <c r="C3" s="654"/>
      <c r="D3" s="654"/>
      <c r="E3" s="654"/>
      <c r="F3" s="654"/>
      <c r="G3" s="654"/>
      <c r="H3" s="654"/>
      <c r="I3" s="654"/>
      <c r="J3" s="654"/>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368" t="s">
        <v>275</v>
      </c>
      <c r="B6" s="655" t="str">
        <f>+IF('Introducerea datelor'!C4="Please Select","",'Introducerea datelor'!C4)</f>
        <v>Moldova</v>
      </c>
      <c r="C6" s="655"/>
      <c r="D6" s="658" t="s">
        <v>279</v>
      </c>
      <c r="E6" s="658"/>
      <c r="F6" s="659" t="str">
        <f>+'Introducerea datelor'!G4</f>
        <v>Consolidarea controlului tuberculozei și reducerea SIDA și a mortalității aferente în Republica Moldova</v>
      </c>
      <c r="G6" s="659"/>
      <c r="H6" s="659"/>
      <c r="I6" s="659"/>
      <c r="J6" s="659"/>
      <c r="K6" s="23"/>
      <c r="L6" s="41"/>
      <c r="M6" s="23"/>
      <c r="N6" s="23"/>
      <c r="O6" s="23"/>
      <c r="P6" s="24"/>
      <c r="Q6" s="12"/>
      <c r="R6" s="12"/>
      <c r="S6" s="12"/>
      <c r="T6" s="12"/>
      <c r="U6" s="12"/>
    </row>
    <row r="7" spans="1:24" ht="8.25" customHeight="1">
      <c r="B7" s="4"/>
      <c r="C7" s="5"/>
      <c r="D7" s="5"/>
      <c r="E7" s="6"/>
      <c r="F7" s="6"/>
      <c r="G7" s="5"/>
      <c r="H7" s="5"/>
      <c r="K7" s="23"/>
      <c r="L7" s="23"/>
      <c r="M7" s="23"/>
      <c r="N7" s="23"/>
      <c r="O7" s="23"/>
      <c r="P7" s="24"/>
      <c r="Q7" s="12"/>
      <c r="R7" s="12"/>
      <c r="S7" s="12"/>
      <c r="T7" s="12"/>
      <c r="U7" s="12"/>
    </row>
    <row r="8" spans="1:24" ht="3.75" customHeight="1">
      <c r="C8" s="7"/>
      <c r="D8" s="7"/>
      <c r="E8" s="7"/>
      <c r="F8" s="7"/>
      <c r="G8" s="7"/>
      <c r="H8" s="7"/>
      <c r="I8" s="7"/>
      <c r="J8" s="7"/>
      <c r="K8" s="23"/>
      <c r="L8" s="23"/>
      <c r="M8" s="23"/>
      <c r="N8" s="23"/>
      <c r="O8" s="25"/>
      <c r="P8" s="24"/>
      <c r="Q8" s="25"/>
      <c r="R8" s="26"/>
      <c r="S8" s="12"/>
      <c r="T8" s="12"/>
      <c r="U8" s="12"/>
    </row>
    <row r="9" spans="1:24" ht="25.5" customHeight="1">
      <c r="A9" s="367" t="s">
        <v>280</v>
      </c>
      <c r="B9" s="162" t="str">
        <f>+IF('Introducerea datelor'!G6="Please Select","",'Introducerea datelor'!G6)</f>
        <v>HIVAIDS / TB</v>
      </c>
      <c r="C9" s="109" t="s">
        <v>243</v>
      </c>
      <c r="D9" s="163" t="str">
        <f>+'Introducerea datelor'!C6</f>
        <v>MDA-C-PCIMU</v>
      </c>
      <c r="E9" s="657" t="s">
        <v>357</v>
      </c>
      <c r="F9" s="657"/>
      <c r="G9" s="211">
        <f>+IF(ISBLANK('Introducerea datelor'!C10),"",'Introducerea datelor'!C10)</f>
        <v>44197</v>
      </c>
      <c r="H9" s="367" t="s">
        <v>281</v>
      </c>
      <c r="I9" s="656">
        <f>+IF(ISBLANK('Introducerea datelor'!I6),"",'Introducerea datelor'!I6)</f>
        <v>24181848</v>
      </c>
      <c r="J9" s="656"/>
      <c r="K9" s="23"/>
      <c r="L9" s="23"/>
      <c r="M9" s="23"/>
      <c r="N9" s="23"/>
      <c r="O9" s="25"/>
      <c r="P9" s="24"/>
      <c r="Q9" s="25"/>
      <c r="R9" s="26"/>
      <c r="S9" s="12"/>
      <c r="T9" s="8"/>
      <c r="U9" s="8"/>
      <c r="V9" s="7"/>
      <c r="W9" s="7"/>
      <c r="X9" s="7"/>
    </row>
    <row r="10" spans="1:24" ht="25.5" customHeight="1">
      <c r="A10" s="367" t="s">
        <v>282</v>
      </c>
      <c r="B10" s="164" t="str">
        <f>+IF('Introducerea datelor'!G8="Please Select","",'Introducerea datelor'!G8)</f>
        <v/>
      </c>
      <c r="C10" s="109" t="s">
        <v>283</v>
      </c>
      <c r="D10" s="165" t="str">
        <f>+IF('Introducerea datelor'!I8="Please Select","",'Introducerea datelor'!I8)</f>
        <v/>
      </c>
      <c r="E10" s="649" t="s">
        <v>358</v>
      </c>
      <c r="F10" s="649"/>
      <c r="G10" s="648" t="str">
        <f>+'Introducerea datelor'!C8</f>
        <v>IP UCIMP DS</v>
      </c>
      <c r="H10" s="648"/>
      <c r="I10" s="648"/>
      <c r="J10" s="648"/>
      <c r="K10" s="12"/>
      <c r="L10" s="12"/>
      <c r="M10" s="23"/>
      <c r="N10" s="12"/>
      <c r="O10" s="25"/>
      <c r="P10" s="24"/>
      <c r="Q10" s="8"/>
      <c r="R10" s="26"/>
      <c r="S10" s="12"/>
      <c r="T10" s="8"/>
      <c r="U10" s="8"/>
    </row>
    <row r="11" spans="1:24" ht="25.5" customHeight="1">
      <c r="A11" s="367" t="s">
        <v>286</v>
      </c>
      <c r="B11" s="366" t="str">
        <f>+'Introducerea datelor'!C16</f>
        <v>P6</v>
      </c>
      <c r="C11" s="155" t="s">
        <v>287</v>
      </c>
      <c r="D11" s="369">
        <f>+IF(ISBLANK('Introducerea datelor'!E16),"",'Introducerea datelor'!E16)</f>
        <v>45108</v>
      </c>
      <c r="E11" s="657" t="s">
        <v>288</v>
      </c>
      <c r="F11" s="657"/>
      <c r="G11" s="369">
        <f>+IF(ISBLANK('Introducerea datelor'!G16),"",'Introducerea datelor'!G16)</f>
        <v>45291</v>
      </c>
      <c r="H11" s="367" t="s">
        <v>278</v>
      </c>
      <c r="I11" s="650" t="str">
        <f>+IF('Introducerea datelor'!C12="Please Select","",'Introducerea datelor'!C12)</f>
        <v>C</v>
      </c>
      <c r="J11" s="650"/>
      <c r="K11" s="126"/>
      <c r="L11" s="12"/>
      <c r="M11" s="23"/>
      <c r="N11" s="12"/>
      <c r="O11" s="12"/>
      <c r="P11" s="24"/>
      <c r="Q11" s="8"/>
      <c r="R11" s="26"/>
      <c r="S11" s="12"/>
      <c r="T11" s="9"/>
      <c r="U11" s="8"/>
    </row>
    <row r="12" spans="1:24" ht="25.5" customHeight="1">
      <c r="A12" s="367" t="s">
        <v>284</v>
      </c>
      <c r="B12" s="648" t="str">
        <f>+IF('Introducerea datelor'!G10="Please Select","",'Introducerea datelor'!G10)</f>
        <v>PwC (PricewaterhouseCoopers)</v>
      </c>
      <c r="C12" s="648"/>
      <c r="D12" s="648"/>
      <c r="E12" s="649" t="s">
        <v>228</v>
      </c>
      <c r="F12" s="649"/>
      <c r="G12" s="648" t="str">
        <f>+'Introducerea datelor'!G12</f>
        <v>Tsovinar Sakanyan</v>
      </c>
      <c r="H12" s="648"/>
      <c r="I12" s="648"/>
      <c r="J12" s="648"/>
      <c r="K12" s="12"/>
      <c r="L12" s="12"/>
      <c r="M12" s="23"/>
      <c r="N12" s="12"/>
      <c r="O12" s="12"/>
      <c r="P12" s="24"/>
      <c r="Q12" s="8"/>
      <c r="R12" s="26"/>
      <c r="S12" s="12"/>
      <c r="T12" s="8"/>
      <c r="U12" s="27"/>
      <c r="V12" s="8"/>
      <c r="W12" s="9"/>
      <c r="X12" s="8"/>
    </row>
    <row r="13" spans="1:24" ht="30.75" customHeight="1">
      <c r="A13" s="367" t="s">
        <v>359</v>
      </c>
      <c r="B13" s="648" t="str">
        <f>+'Introducerea datelor'!D18</f>
        <v>IP UCIMP DS</v>
      </c>
      <c r="C13" s="648"/>
      <c r="D13" s="648"/>
      <c r="E13" s="651" t="s">
        <v>360</v>
      </c>
      <c r="F13" s="651"/>
      <c r="G13" s="652">
        <f>+IF(ISBLANK('Introducerea datelor'!J16),"",'Introducerea datelor'!J16)</f>
        <v>45372</v>
      </c>
      <c r="H13" s="653"/>
      <c r="I13" s="653"/>
      <c r="J13" s="653"/>
      <c r="K13" s="12"/>
      <c r="L13" s="13"/>
      <c r="M13" s="13"/>
      <c r="N13" s="13"/>
      <c r="O13" s="12"/>
      <c r="P13" s="13"/>
      <c r="Q13" s="13"/>
      <c r="R13" s="26"/>
      <c r="S13" s="12"/>
      <c r="T13" s="13"/>
      <c r="U13" s="28"/>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12"/>
      <c r="D16" s="10"/>
      <c r="E16" s="171"/>
      <c r="L16" s="10"/>
      <c r="M16" s="10"/>
      <c r="N16" s="10"/>
      <c r="O16" s="10"/>
      <c r="P16" s="10"/>
      <c r="Q16" s="10"/>
      <c r="R16" s="10"/>
      <c r="S16" s="10"/>
      <c r="T16" s="10"/>
      <c r="U16" s="10"/>
    </row>
    <row r="17" spans="1:5">
      <c r="A17" s="10"/>
      <c r="B17" s="10"/>
      <c r="C17" s="10"/>
      <c r="D17" s="10"/>
      <c r="E17" s="10"/>
    </row>
  </sheetData>
  <sheetProtection sheet="1" objects="1" scenarios="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3" type="noConversion"/>
  <conditionalFormatting sqref="I11:J11">
    <cfRule type="cellIs" dxfId="31" priority="1" stopIfTrue="1" operator="equal">
      <formula>"C"</formula>
    </cfRule>
    <cfRule type="cellIs" dxfId="30" priority="2" stopIfTrue="1" operator="equal">
      <formula>"B2"</formula>
    </cfRule>
    <cfRule type="cellIs" dxfId="29"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4"/>
  <sheetViews>
    <sheetView showGridLines="0" topLeftCell="B22" zoomScale="145" zoomScaleNormal="145" zoomScaleSheetLayoutView="100" workbookViewId="0">
      <selection activeCell="N29" sqref="N29"/>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476"/>
      <c r="E1" s="81"/>
    </row>
    <row r="2" spans="1:16" ht="27.75" customHeight="1">
      <c r="B2" s="660" t="str">
        <f>+"Tabel Programatic de Evaluare:  "&amp;"  "&amp;IF(+'Introducerea datelor'!C4="Please Select","",'Introducerea datelor'!C4&amp;" - ")&amp;IF('Introducerea datelor'!G6="Please Select","",'Introducerea datelor'!G6)</f>
        <v>Tabel Programatic de Evaluare:    Moldova - HIVAIDS / TB</v>
      </c>
      <c r="C2" s="660"/>
      <c r="D2" s="660"/>
      <c r="E2" s="660"/>
      <c r="F2" s="660"/>
      <c r="G2" s="660"/>
      <c r="H2" s="660"/>
      <c r="I2" s="660"/>
      <c r="J2" s="660"/>
      <c r="K2" s="660"/>
      <c r="L2" s="660"/>
      <c r="M2" s="477"/>
      <c r="N2" s="477"/>
      <c r="O2" s="477"/>
      <c r="P2" s="477"/>
    </row>
    <row r="3" spans="1:16">
      <c r="B3" s="15" t="str">
        <f>+IF('Introducerea datelor'!G8="Please Select","",'Introducerea datelor'!G8)</f>
        <v/>
      </c>
      <c r="C3" s="665" t="str">
        <f>+IF('Introducerea datelor'!I8="Please Select","",'Introducerea datelor'!I8)</f>
        <v/>
      </c>
      <c r="D3" s="665"/>
      <c r="E3" s="663"/>
      <c r="F3" s="663"/>
      <c r="G3" s="663"/>
      <c r="H3" s="663"/>
      <c r="I3" s="663"/>
      <c r="J3" s="664" t="str">
        <f>+'Introducerea datelor'!B16</f>
        <v>Perioada de Raportare:</v>
      </c>
      <c r="K3" s="664"/>
      <c r="L3" s="99" t="str">
        <f>+'Introducerea datelor'!C16</f>
        <v>P6</v>
      </c>
    </row>
    <row r="4" spans="1:16">
      <c r="B4" s="15" t="str">
        <f>+'Introducerea datelor'!B12</f>
        <v>Ultimul Rating:</v>
      </c>
      <c r="C4" s="661" t="str">
        <f>+IF('Introducerea datelor'!C12="Please Select","",'Introducerea datelor'!C12)</f>
        <v>C</v>
      </c>
      <c r="D4" s="661"/>
      <c r="E4" s="663" t="str">
        <f>+'Introducerea datelor'!C8</f>
        <v>IP UCIMP DS</v>
      </c>
      <c r="F4" s="663"/>
      <c r="G4" s="663"/>
      <c r="H4" s="663"/>
      <c r="I4" s="663"/>
      <c r="J4" s="664" t="str">
        <f>+'Introducerea datelor'!D16</f>
        <v>De la:</v>
      </c>
      <c r="K4" s="666"/>
      <c r="L4" s="230">
        <f>+IF(ISBLANK('Introducerea datelor'!E16),"",'Introducerea datelor'!E16)</f>
        <v>45108</v>
      </c>
    </row>
    <row r="5" spans="1:16" ht="27.75" customHeight="1">
      <c r="B5" s="15"/>
      <c r="C5" s="15"/>
      <c r="D5" s="672" t="str">
        <f>+'Introducerea datelor'!G4</f>
        <v>Consolidarea controlului tuberculozei și reducerea SIDA și a mortalității aferente în Republica Moldova</v>
      </c>
      <c r="E5" s="672"/>
      <c r="F5" s="672"/>
      <c r="G5" s="672"/>
      <c r="H5" s="672"/>
      <c r="I5" s="672"/>
      <c r="J5" s="672"/>
      <c r="K5" s="15" t="str">
        <f>+'Introducerea datelor'!F16</f>
        <v>Pînă la:</v>
      </c>
      <c r="L5" s="230">
        <f>+IF(ISBLANK('Introducerea datelor'!G16),"",'Introducerea datelor'!G16)</f>
        <v>45291</v>
      </c>
    </row>
    <row r="6" spans="1:16" ht="18.75">
      <c r="B6" s="14"/>
      <c r="C6" s="15"/>
      <c r="D6" s="84"/>
      <c r="E6" s="662" t="s">
        <v>365</v>
      </c>
      <c r="F6" s="662"/>
      <c r="G6" s="662"/>
      <c r="H6" s="662"/>
      <c r="I6" s="662"/>
    </row>
    <row r="7" spans="1:16" ht="26.25" customHeight="1">
      <c r="B7" s="667" t="str">
        <f>+'Introducerea datelor'!B75&amp;"                "&amp;+J3&amp;" "&amp;+L3</f>
        <v>M1: Statutul Condițiilor Precedente și a Acțiunilor Prestabilite în Timp                 Perioada de Raportare: P6</v>
      </c>
      <c r="C7" s="668"/>
      <c r="D7" s="668"/>
      <c r="E7" s="668"/>
      <c r="F7" s="668"/>
      <c r="H7" s="667" t="str">
        <f>+'Introducerea datelor'!B82&amp;"                                                                             "&amp;+J3&amp;"  "&amp;+L3</f>
        <v>M2: Statutul pozițiilor cheie a RP                                                                              Perioada de Raportare:  P6</v>
      </c>
      <c r="I7" s="668"/>
      <c r="J7" s="668"/>
      <c r="K7" s="668"/>
      <c r="L7" s="668"/>
    </row>
    <row r="8" spans="1:16" ht="96.75" customHeight="1">
      <c r="B8" s="478" t="s">
        <v>364</v>
      </c>
      <c r="C8" s="669" t="s">
        <v>415</v>
      </c>
      <c r="D8" s="674"/>
      <c r="E8" s="674"/>
      <c r="F8" s="675"/>
      <c r="G8" s="479"/>
      <c r="H8" s="478" t="s">
        <v>364</v>
      </c>
      <c r="I8" s="669" t="s">
        <v>532</v>
      </c>
      <c r="J8" s="670"/>
      <c r="K8" s="670"/>
      <c r="L8" s="671"/>
    </row>
    <row r="9" spans="1:16" ht="22.5" customHeight="1"/>
    <row r="10" spans="1:16" ht="21" customHeight="1">
      <c r="A10" s="480"/>
      <c r="D10" s="676"/>
      <c r="E10" s="673"/>
      <c r="F10" s="673"/>
      <c r="G10" s="22"/>
      <c r="N10" s="481"/>
      <c r="O10" s="481"/>
      <c r="P10" s="291"/>
    </row>
    <row r="11" spans="1:16">
      <c r="C11" s="67"/>
      <c r="D11" s="676"/>
      <c r="E11" s="67"/>
      <c r="F11" s="67"/>
      <c r="G11" s="67"/>
      <c r="H11" s="67"/>
    </row>
    <row r="12" spans="1:16">
      <c r="B12" s="67"/>
      <c r="C12" s="401"/>
      <c r="D12" s="482"/>
      <c r="E12" s="482"/>
      <c r="F12" s="482"/>
      <c r="G12" s="482"/>
      <c r="H12" s="483"/>
      <c r="N12" s="484"/>
    </row>
    <row r="13" spans="1:16">
      <c r="B13" s="67"/>
      <c r="C13" s="401"/>
      <c r="D13" s="482"/>
      <c r="E13" s="482"/>
      <c r="F13" s="482"/>
      <c r="G13" s="482"/>
      <c r="H13" s="483"/>
    </row>
    <row r="14" spans="1:16" ht="27" customHeight="1"/>
    <row r="15" spans="1:16" ht="35.25" customHeight="1">
      <c r="B15" s="667" t="str">
        <f>+'Introducerea datelor'!B87&amp;"                                                                                                 "&amp;+J3&amp;" "&amp;+L3</f>
        <v>M3: Aranjamente contractuale (SR)                                                                                                  Perioada de Raportare: P6</v>
      </c>
      <c r="C15" s="668"/>
      <c r="D15" s="668"/>
      <c r="E15" s="668"/>
      <c r="F15" s="668"/>
      <c r="G15" s="668"/>
      <c r="H15" s="667" t="str">
        <f>+'Introducerea datelor'!B92&amp;"                        "&amp;+J3&amp;" "&amp;+L3</f>
        <v>M4: Numărul rapoartelor complete recepționate la timp                        Perioada de Raportare: P6</v>
      </c>
      <c r="I15" s="668"/>
      <c r="J15" s="668"/>
      <c r="K15" s="668"/>
      <c r="L15" s="668"/>
    </row>
    <row r="16" spans="1:16" ht="79.5" customHeight="1">
      <c r="B16" s="478" t="s">
        <v>364</v>
      </c>
      <c r="C16" s="669" t="s">
        <v>492</v>
      </c>
      <c r="D16" s="670"/>
      <c r="E16" s="670"/>
      <c r="F16" s="671"/>
      <c r="G16" s="479"/>
      <c r="H16" s="478" t="s">
        <v>364</v>
      </c>
      <c r="I16" s="669" t="s">
        <v>515</v>
      </c>
      <c r="J16" s="674"/>
      <c r="K16" s="674"/>
      <c r="L16" s="675"/>
    </row>
    <row r="17" spans="2:13">
      <c r="B17" s="118"/>
      <c r="H17" s="118"/>
    </row>
    <row r="18" spans="2:13">
      <c r="M18" s="485"/>
    </row>
    <row r="26" spans="2:13" ht="40.5" customHeight="1">
      <c r="B26" s="667" t="str">
        <f>+'Introducerea datelor'!B98</f>
        <v xml:space="preserve">M5: Bugetul și Procurarea produselor medicale, echipamentului medical, medicamentelor și produselor farmaceutice </v>
      </c>
      <c r="C26" s="668"/>
      <c r="D26" s="668"/>
      <c r="E26" s="668"/>
      <c r="F26" s="668"/>
      <c r="H26" s="667" t="str">
        <f>+'Introducerea datelor'!B111&amp;"                                                                "&amp;+J3&amp;"  "&amp;+L3</f>
        <v>M6: Diferență între stocul curent și stocul de siguranță                                                                Perioada de Raportare:  P6</v>
      </c>
      <c r="I26" s="668"/>
      <c r="J26" s="668"/>
      <c r="K26" s="668"/>
      <c r="L26" s="668"/>
    </row>
    <row r="27" spans="2:13" ht="54.75" customHeight="1">
      <c r="B27" s="478" t="s">
        <v>364</v>
      </c>
      <c r="C27" s="669" t="s">
        <v>533</v>
      </c>
      <c r="D27" s="670"/>
      <c r="E27" s="670"/>
      <c r="F27" s="671"/>
      <c r="G27" s="479"/>
      <c r="H27" s="478" t="s">
        <v>1</v>
      </c>
      <c r="I27" s="669" t="s">
        <v>516</v>
      </c>
      <c r="J27" s="674"/>
      <c r="K27" s="674"/>
      <c r="L27" s="675"/>
    </row>
    <row r="28" spans="2:13" ht="15.75" thickBot="1"/>
    <row r="29" spans="2:13" ht="59.25" customHeight="1">
      <c r="F29" s="157"/>
      <c r="G29" s="157"/>
      <c r="H29" s="206" t="s">
        <v>342</v>
      </c>
      <c r="I29" s="205" t="s">
        <v>366</v>
      </c>
      <c r="J29" s="166" t="s">
        <v>368</v>
      </c>
      <c r="K29" s="106" t="s">
        <v>369</v>
      </c>
      <c r="L29" s="156" t="s">
        <v>370</v>
      </c>
    </row>
    <row r="30" spans="2:13" ht="15" customHeight="1">
      <c r="F30" s="157"/>
      <c r="G30" s="157"/>
      <c r="H30" s="678" t="str">
        <f>+'Introducerea datelor'!B114</f>
        <v>Please Select</v>
      </c>
      <c r="I30" s="374" t="str">
        <f>+'Introducerea datelor'!C114</f>
        <v>Please Select</v>
      </c>
      <c r="J30" s="375" t="str">
        <f>+'Introducerea datelor'!I114</f>
        <v/>
      </c>
      <c r="K30" s="376">
        <f>+'Introducerea datelor'!J114</f>
        <v>0</v>
      </c>
      <c r="L30" s="377" t="str">
        <f>+'Introducerea datelor'!K114</f>
        <v/>
      </c>
    </row>
    <row r="31" spans="2:13">
      <c r="F31" s="157"/>
      <c r="G31" s="157"/>
      <c r="H31" s="679"/>
      <c r="I31" s="374" t="str">
        <f>+'Introducerea datelor'!C115</f>
        <v>Please Select</v>
      </c>
      <c r="J31" s="375" t="str">
        <f>+'Introducerea datelor'!I115</f>
        <v/>
      </c>
      <c r="K31" s="376">
        <f>+'Introducerea datelor'!J115</f>
        <v>0</v>
      </c>
      <c r="L31" s="378" t="str">
        <f>+'Introducerea datelor'!K115</f>
        <v/>
      </c>
    </row>
    <row r="32" spans="2:13">
      <c r="F32" s="157"/>
      <c r="G32" s="157"/>
      <c r="H32" s="679"/>
      <c r="I32" s="374" t="str">
        <f>+'Introducerea datelor'!C116</f>
        <v>Please Select</v>
      </c>
      <c r="J32" s="375" t="str">
        <f>+'Introducerea datelor'!I116</f>
        <v/>
      </c>
      <c r="K32" s="376">
        <f>+'Introducerea datelor'!J116</f>
        <v>0</v>
      </c>
      <c r="L32" s="377" t="str">
        <f>+'Introducerea datelor'!K116</f>
        <v/>
      </c>
    </row>
    <row r="33" spans="2:12" ht="30" customHeight="1" thickBot="1">
      <c r="F33" s="157"/>
      <c r="G33" s="157"/>
      <c r="H33" s="680"/>
      <c r="I33" s="379" t="str">
        <f>+'Introducerea datelor'!C117</f>
        <v>Please Select</v>
      </c>
      <c r="J33" s="380" t="str">
        <f>+'Introducerea datelor'!I117</f>
        <v/>
      </c>
      <c r="K33" s="381">
        <f>+'Introducerea datelor'!J117</f>
        <v>0</v>
      </c>
      <c r="L33" s="377" t="str">
        <f>+'Introducerea datelor'!K117</f>
        <v/>
      </c>
    </row>
    <row r="34" spans="2:12" ht="22.5" customHeight="1">
      <c r="B34" s="677" t="str">
        <f>+'Introducerea datelor'!B108</f>
        <v>* Include numai AFR categoriile 4,5 și 6  (Produse medicale și Echipamente medicale &amp; Medicamente și Produse farmaceutice)</v>
      </c>
      <c r="C34" s="677"/>
      <c r="D34" s="677"/>
      <c r="E34" s="677"/>
      <c r="H34" s="486"/>
      <c r="I34" s="99"/>
      <c r="J34" s="487"/>
      <c r="K34" s="22"/>
    </row>
  </sheetData>
  <sheetProtection sheet="1" objects="1" scenarios="1"/>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3" type="noConversion"/>
  <conditionalFormatting sqref="C4:D4">
    <cfRule type="cellIs" dxfId="28" priority="4" stopIfTrue="1" operator="equal">
      <formula>"C"</formula>
    </cfRule>
    <cfRule type="cellIs" dxfId="27" priority="5" stopIfTrue="1" operator="equal">
      <formula>"B2"</formula>
    </cfRule>
    <cfRule type="cellIs" dxfId="26" priority="6" stopIfTrue="1" operator="equal">
      <formula>"B1"</formula>
    </cfRule>
  </conditionalFormatting>
  <conditionalFormatting sqref="D12:D13">
    <cfRule type="cellIs" dxfId="25" priority="1" stopIfTrue="1" operator="greaterThan">
      <formula>0</formula>
    </cfRule>
  </conditionalFormatting>
  <conditionalFormatting sqref="E12:E13">
    <cfRule type="cellIs" dxfId="24" priority="2" stopIfTrue="1" operator="greaterThan">
      <formula>0</formula>
    </cfRule>
  </conditionalFormatting>
  <conditionalFormatting sqref="F12:G13">
    <cfRule type="cellIs" dxfId="23" priority="3" stopIfTrue="1" operator="greaterThan">
      <formula>0</formula>
    </cfRule>
  </conditionalFormatting>
  <conditionalFormatting sqref="L30 L32:L33">
    <cfRule type="cellIs" dxfId="22" priority="14" stopIfTrue="1" operator="between">
      <formula>3</formula>
      <formula>17</formula>
    </cfRule>
    <cfRule type="cellIs" dxfId="21" priority="15" stopIfTrue="1" operator="between">
      <formula>1</formula>
      <formula>3</formula>
    </cfRule>
  </conditionalFormatting>
  <conditionalFormatting sqref="L30:L33">
    <cfRule type="cellIs" dxfId="20" priority="13" stopIfTrue="1" operator="lessThan">
      <formula>1</formula>
    </cfRule>
  </conditionalFormatting>
  <conditionalFormatting sqref="L31">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8" scale="96"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B1:O32"/>
  <sheetViews>
    <sheetView showGridLines="0" view="pageBreakPreview" topLeftCell="A10" zoomScaleNormal="100" zoomScaleSheetLayoutView="100" workbookViewId="0">
      <selection activeCell="I37" sqref="I37"/>
    </sheetView>
  </sheetViews>
  <sheetFormatPr defaultColWidth="11" defaultRowHeight="15"/>
  <cols>
    <col min="1" max="6" width="19.42578125" customWidth="1"/>
    <col min="7" max="7" width="3.85546875" customWidth="1"/>
    <col min="8" max="11" width="24.28515625" customWidth="1"/>
  </cols>
  <sheetData>
    <row r="1" spans="2:15" ht="30.75" customHeight="1"/>
    <row r="2" spans="2:15" ht="27.75" customHeight="1">
      <c r="B2" s="681" t="str">
        <f>+"Tabel Programatic de Evaluare:  "&amp;"  "&amp;IF(+'Introducerea datelor'!C4="Please Select","",'Introducerea datelor'!C4&amp;" - ")&amp;IF('Introducerea datelor'!G6="Please Select","",'Introducerea datelor'!G6)</f>
        <v>Tabel Programatic de Evaluare:    Moldova - HIVAIDS / TB</v>
      </c>
      <c r="C2" s="681"/>
      <c r="D2" s="681"/>
      <c r="E2" s="681"/>
      <c r="F2" s="681"/>
      <c r="G2" s="681"/>
      <c r="H2" s="681"/>
      <c r="I2" s="681"/>
      <c r="J2" s="681"/>
      <c r="K2" s="681"/>
      <c r="L2" s="1"/>
      <c r="M2" s="1"/>
      <c r="N2" s="1"/>
      <c r="O2" s="1"/>
    </row>
    <row r="3" spans="2:15">
      <c r="B3" s="15" t="str">
        <f>+IF('Introducerea datelor'!G8="Please Select","",'Introducerea datelor'!G8)</f>
        <v/>
      </c>
      <c r="C3" s="665" t="str">
        <f>+IF('Introducerea datelor'!I8="Please Select","",'Introducerea datelor'!I8)</f>
        <v/>
      </c>
      <c r="D3" s="665"/>
      <c r="E3" s="663"/>
      <c r="F3" s="663"/>
      <c r="G3" s="663"/>
      <c r="H3" s="663"/>
      <c r="I3" s="664" t="str">
        <f>+'Introducerea datelor'!B16</f>
        <v>Perioada de Raportare:</v>
      </c>
      <c r="J3" s="664"/>
      <c r="K3" s="99" t="str">
        <f>+'Introducerea datelor'!C16</f>
        <v>P6</v>
      </c>
      <c r="L3" s="485"/>
    </row>
    <row r="4" spans="2:15">
      <c r="B4" s="15" t="str">
        <f>+'Introducerea datelor'!B12</f>
        <v>Ultimul Rating:</v>
      </c>
      <c r="C4" s="661" t="str">
        <f>+IF('Introducerea datelor'!C12="Please Select","",'Introducerea datelor'!C12)</f>
        <v>C</v>
      </c>
      <c r="D4" s="661"/>
      <c r="E4" s="663" t="str">
        <f>+'Introducerea datelor'!C8</f>
        <v>IP UCIMP DS</v>
      </c>
      <c r="F4" s="663"/>
      <c r="G4" s="663"/>
      <c r="H4" s="663"/>
      <c r="I4" s="664" t="str">
        <f>+'Introducerea datelor'!D16</f>
        <v>De la:</v>
      </c>
      <c r="J4" s="666"/>
      <c r="K4" s="230">
        <f>+IF(ISBLANK('Introducerea datelor'!E16),"",'Introducerea datelor'!E16)</f>
        <v>45108</v>
      </c>
    </row>
    <row r="5" spans="2:15" ht="18.75" customHeight="1">
      <c r="B5" s="15"/>
      <c r="C5" s="15"/>
      <c r="D5" s="672" t="str">
        <f>+'Introducerea datelor'!G4</f>
        <v>Consolidarea controlului tuberculozei și reducerea SIDA și a mortalității aferente în Republica Moldova</v>
      </c>
      <c r="E5" s="672"/>
      <c r="F5" s="672"/>
      <c r="G5" s="672"/>
      <c r="H5" s="672"/>
      <c r="I5" s="672"/>
      <c r="J5" s="15" t="str">
        <f>+'Introducerea datelor'!F16</f>
        <v>Pînă la:</v>
      </c>
      <c r="K5" s="230">
        <f>+IF(ISBLANK('Introducerea datelor'!G16),"",'Introducerea datelor'!G16)</f>
        <v>45291</v>
      </c>
    </row>
    <row r="6" spans="2:15" ht="18.75">
      <c r="B6" s="14"/>
      <c r="C6" s="15"/>
      <c r="D6" s="84"/>
      <c r="E6" s="662" t="s">
        <v>363</v>
      </c>
      <c r="F6" s="662"/>
      <c r="G6" s="662"/>
      <c r="H6" s="662"/>
      <c r="K6" s="169"/>
    </row>
    <row r="7" spans="2:15" ht="10.5" customHeight="1">
      <c r="B7" s="14"/>
      <c r="C7" s="15"/>
      <c r="D7" s="86"/>
      <c r="E7" s="87"/>
      <c r="F7" s="87"/>
      <c r="G7" s="87"/>
      <c r="H7" s="87"/>
      <c r="I7" s="370"/>
      <c r="J7" s="370"/>
      <c r="K7" s="85"/>
      <c r="O7" t="s">
        <v>362</v>
      </c>
    </row>
    <row r="8" spans="2:15" ht="26.25" customHeight="1">
      <c r="B8" s="686" t="str">
        <f>+'Introducerea datelor'!B27&amp; " - in ("&amp;'Introducerea datelor'!D26&amp;")  "&amp;+I3&amp;" "&amp;+K3</f>
        <v>F1: Bugetul și debursările de către Fondul Global - in (€)  Perioada de Raportare: P6</v>
      </c>
      <c r="C8" s="668"/>
      <c r="D8" s="668"/>
      <c r="E8" s="668"/>
      <c r="F8" s="668"/>
      <c r="H8" s="103" t="str">
        <f>+'Introducerea datelor'!B55&amp; " - in ("&amp;'Introducerea datelor'!D26&amp;")         "&amp;+I3&amp;" "&amp;+K3</f>
        <v>F3: Debursări și cheltuieli - in (€)         Perioada de Raportare: P6</v>
      </c>
    </row>
    <row r="9" spans="2:15" ht="28.5" customHeight="1">
      <c r="B9" s="478" t="s">
        <v>364</v>
      </c>
      <c r="C9" s="689" t="s">
        <v>535</v>
      </c>
      <c r="D9" s="695"/>
      <c r="E9" s="695"/>
      <c r="F9" s="696"/>
      <c r="G9" s="488"/>
      <c r="H9" s="489" t="s">
        <v>364</v>
      </c>
      <c r="I9" s="689" t="s">
        <v>536</v>
      </c>
      <c r="J9" s="695"/>
      <c r="K9" s="696"/>
    </row>
    <row r="21" spans="2:13">
      <c r="M21" s="490"/>
    </row>
    <row r="22" spans="2:13" ht="24" customHeight="1">
      <c r="B22" s="686" t="str">
        <f>+'Introducerea datelor'!B36&amp; " - in ("&amp;'Introducerea datelor'!D26&amp;")  "&amp;+I3&amp;" "&amp;+K3</f>
        <v>F2: Bugetul și cheltuielile actuale după Obiectivele Grantului - in (€)  Perioada de Raportare: P6</v>
      </c>
      <c r="C22" s="546"/>
      <c r="D22" s="546"/>
      <c r="E22" s="546"/>
      <c r="F22" s="546"/>
      <c r="H22" s="686" t="str">
        <f>+'Introducerea datelor'!B64&amp;"      "&amp;+I3&amp;" "&amp;+K3</f>
        <v>F4: Ultima perioadă de raportare și debursare a RP       Perioada de Raportare: P6</v>
      </c>
      <c r="I22" s="668"/>
      <c r="J22" s="668"/>
      <c r="K22" s="668"/>
    </row>
    <row r="23" spans="2:13" ht="86.25" customHeight="1">
      <c r="B23" s="478" t="s">
        <v>364</v>
      </c>
      <c r="C23" s="697" t="s">
        <v>545</v>
      </c>
      <c r="D23" s="698"/>
      <c r="E23" s="698"/>
      <c r="F23" s="699"/>
      <c r="G23" s="491"/>
      <c r="H23" s="489" t="s">
        <v>364</v>
      </c>
      <c r="I23" s="689" t="s">
        <v>534</v>
      </c>
      <c r="J23" s="690"/>
      <c r="K23" s="691"/>
    </row>
    <row r="24" spans="2:13" ht="15.75" thickBot="1">
      <c r="B24" s="492"/>
      <c r="C24" s="492"/>
      <c r="D24" s="492"/>
      <c r="E24" s="492"/>
      <c r="F24" s="492"/>
      <c r="G24" s="492"/>
      <c r="H24" s="492"/>
      <c r="I24" s="492"/>
      <c r="J24" s="492"/>
      <c r="K24" s="492"/>
    </row>
    <row r="25" spans="2:13" ht="29.25" customHeight="1" thickBot="1">
      <c r="G25" s="153"/>
      <c r="H25" s="692" t="s">
        <v>401</v>
      </c>
      <c r="I25" s="693"/>
      <c r="J25" s="693"/>
      <c r="K25" s="694"/>
    </row>
    <row r="26" spans="2:13">
      <c r="H26" s="682"/>
      <c r="I26" s="683"/>
      <c r="J26" s="144" t="s">
        <v>309</v>
      </c>
      <c r="K26" s="145" t="s">
        <v>310</v>
      </c>
    </row>
    <row r="27" spans="2:13" ht="23.25" customHeight="1">
      <c r="G27" s="154"/>
      <c r="H27" s="687" t="str">
        <f>'Introducerea datelor'!B68</f>
        <v>Zile necesare pentru remiterea PU/DR anual sau PU anual final către AL (LFA)</v>
      </c>
      <c r="I27" s="688"/>
      <c r="J27" s="209">
        <f>+'Introducerea datelor'!C68</f>
        <v>60</v>
      </c>
      <c r="K27" s="229">
        <f>+'Introducerea datelor'!D68</f>
        <v>60</v>
      </c>
    </row>
    <row r="28" spans="2:13" ht="25.5" customHeight="1">
      <c r="G28" s="154"/>
      <c r="H28" s="687" t="str">
        <f>'Introducerea datelor'!B69</f>
        <v>Zile necesare pentru debursare către RP</v>
      </c>
      <c r="I28" s="688"/>
      <c r="J28" s="209">
        <f>+'Introducerea datelor'!C69</f>
        <v>5</v>
      </c>
      <c r="K28" s="229">
        <f>+'Introducerea datelor'!D69</f>
        <v>5</v>
      </c>
    </row>
    <row r="29" spans="2:13" ht="24.75" customHeight="1" thickBot="1">
      <c r="G29" s="154"/>
      <c r="H29" s="684" t="str">
        <f>'Introducerea datelor'!B70</f>
        <v>Zile necesare pentru debursare către SR</v>
      </c>
      <c r="I29" s="685"/>
      <c r="J29" s="210">
        <f>+'Introducerea datelor'!C70</f>
        <v>5</v>
      </c>
      <c r="K29" s="274">
        <f>+'Introducerea datelor'!D70</f>
        <v>5</v>
      </c>
    </row>
    <row r="31" spans="2:13">
      <c r="D31" s="113"/>
    </row>
    <row r="32" spans="2:13">
      <c r="D32" s="113"/>
    </row>
  </sheetData>
  <sheetProtection sheet="1" objects="1" scenarios="1"/>
  <mergeCells count="21">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 ref="B2:K2"/>
    <mergeCell ref="D5:I5"/>
    <mergeCell ref="I4:J4"/>
    <mergeCell ref="I3:J3"/>
    <mergeCell ref="E3:H3"/>
    <mergeCell ref="E4:H4"/>
    <mergeCell ref="C3:D3"/>
  </mergeCells>
  <phoneticPr fontId="23" type="noConversion"/>
  <conditionalFormatting sqref="C4:D4">
    <cfRule type="cellIs" dxfId="17" priority="1" stopIfTrue="1" operator="equal">
      <formula>"C"</formula>
    </cfRule>
    <cfRule type="cellIs" dxfId="16" priority="2" stopIfTrue="1" operator="equal">
      <formula>"B2"</formula>
    </cfRule>
    <cfRule type="cellIs" dxfId="15" priority="3" stopIfTrue="1" operator="equal">
      <formula>"B1"</formula>
    </cfRule>
  </conditionalFormatting>
  <conditionalFormatting sqref="K27:K29">
    <cfRule type="cellIs" dxfId="14" priority="4" stopIfTrue="1" operator="greaterThan">
      <formula>J27</formula>
    </cfRule>
    <cfRule type="cellIs" dxfId="13" priority="5" stopIfTrue="1" operator="between">
      <formula>J27</formula>
      <formula>1</formula>
    </cfRule>
    <cfRule type="cellIs" dxfId="12" priority="6" stopIfTrue="1" operator="equal">
      <formula>0</formula>
    </cfRule>
  </conditionalFormatting>
  <pageMargins left="0.70866141732283472" right="0.70866141732283472" top="0.74803149606299213" bottom="0.74803149606299213" header="0.31496062992125984" footer="0.31496062992125984"/>
  <pageSetup paperSize="8" scale="88" orientation="landscape"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2:AL65"/>
  <sheetViews>
    <sheetView showGridLines="0" view="pageBreakPreview" topLeftCell="A49" zoomScaleNormal="100" zoomScaleSheetLayoutView="100" workbookViewId="0">
      <selection activeCell="U46" sqref="U46"/>
    </sheetView>
  </sheetViews>
  <sheetFormatPr defaultColWidth="11" defaultRowHeight="15"/>
  <cols>
    <col min="1" max="1" width="5.7109375" style="493" customWidth="1"/>
    <col min="2" max="2" width="17.140625" style="208" bestFit="1" customWidth="1"/>
    <col min="3" max="3" width="14" bestFit="1" customWidth="1"/>
    <col min="4" max="4" width="14.140625" customWidth="1"/>
    <col min="5" max="5" width="14.85546875" customWidth="1"/>
    <col min="6" max="6" width="11.7109375" style="22" customWidth="1"/>
    <col min="7" max="7" width="11" style="22" bestFit="1" customWidth="1"/>
    <col min="8" max="8" width="6" customWidth="1"/>
    <col min="9" max="9" width="6.85546875" customWidth="1"/>
    <col min="10" max="10" width="6" customWidth="1"/>
    <col min="11" max="11" width="7.28515625" customWidth="1"/>
    <col min="12" max="12" width="11.85546875" customWidth="1"/>
    <col min="13" max="13" width="17.140625" customWidth="1"/>
    <col min="14" max="14" width="5" customWidth="1"/>
    <col min="15" max="15" width="6.5703125" customWidth="1"/>
    <col min="16" max="16" width="4.140625" customWidth="1"/>
    <col min="17" max="17" width="8" bestFit="1" customWidth="1"/>
    <col min="18" max="18" width="42.42578125" customWidth="1"/>
    <col min="19" max="19" width="6.5703125" customWidth="1"/>
    <col min="20" max="20" width="4.85546875" style="245" bestFit="1" customWidth="1"/>
    <col min="21" max="21" width="9.28515625" style="245" bestFit="1" customWidth="1"/>
    <col min="22" max="23" width="11" style="245"/>
    <col min="24" max="24" width="9.28515625" style="245" bestFit="1" customWidth="1"/>
    <col min="25" max="25" width="7.7109375" style="245" bestFit="1" customWidth="1"/>
    <col min="26" max="26" width="11" style="245"/>
    <col min="27" max="27" width="6.5703125" style="245" bestFit="1" customWidth="1"/>
    <col min="28" max="28" width="7.140625" style="245" bestFit="1" customWidth="1"/>
    <col min="29" max="29" width="9.28515625" style="245" bestFit="1" customWidth="1"/>
    <col min="30" max="32" width="11" style="245"/>
    <col min="33" max="33" width="9.28515625" style="245" bestFit="1" customWidth="1"/>
  </cols>
  <sheetData>
    <row r="2" spans="1:36" ht="18.75">
      <c r="C2" s="660" t="str">
        <f>+"Tabel Programatic de Evaluare:  "&amp;"  "&amp;IF(+'Introducerea datelor'!C4="Please Select","",'Introducerea datelor'!C4&amp;" - ")&amp;IF('Introducerea datelor'!G6="Please Select","",'Introducerea datelor'!G6)</f>
        <v>Tabel Programatic de Evaluare:    Moldova - HIVAIDS / TB</v>
      </c>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row>
    <row r="3" spans="1:36" ht="18.75">
      <c r="C3" s="15" t="str">
        <f>+IF('Introducerea datelor'!G8="Please Select","",'Introducerea datelor'!G8)</f>
        <v/>
      </c>
      <c r="D3" s="665" t="str">
        <f>+IF('Introducerea datelor'!I8="Please Select","",'Introducerea datelor'!I8)</f>
        <v/>
      </c>
      <c r="E3" s="665"/>
      <c r="F3" s="663"/>
      <c r="G3" s="663"/>
      <c r="H3" s="663"/>
      <c r="I3" s="663"/>
      <c r="J3" s="545"/>
      <c r="K3" s="545"/>
      <c r="L3" s="545"/>
      <c r="O3" s="719" t="str">
        <f>+'Introducerea datelor'!B16</f>
        <v>Perioada de Raportare:</v>
      </c>
      <c r="P3" s="668"/>
      <c r="Q3" s="668"/>
      <c r="R3" s="99" t="str">
        <f>+'Introducerea datelor'!C16</f>
        <v>P6</v>
      </c>
    </row>
    <row r="4" spans="1:36">
      <c r="C4" s="15" t="str">
        <f>+'Introducerea datelor'!B12</f>
        <v>Ultimul Rating:</v>
      </c>
      <c r="D4" s="730" t="str">
        <f>+IF('Introducerea datelor'!C12="Please Select","",'Introducerea datelor'!C12)</f>
        <v>C</v>
      </c>
      <c r="E4" s="730"/>
      <c r="F4" s="663" t="str">
        <f>+'Introducerea datelor'!C8</f>
        <v>IP UCIMP DS</v>
      </c>
      <c r="G4" s="663"/>
      <c r="H4" s="663"/>
      <c r="I4" s="663"/>
      <c r="J4" s="663"/>
      <c r="K4" s="663"/>
      <c r="L4" s="663"/>
      <c r="M4" s="663"/>
      <c r="P4" s="14"/>
      <c r="Q4" s="15" t="str">
        <f>+'Introducerea datelor'!D16</f>
        <v>De la:</v>
      </c>
      <c r="R4" s="494">
        <f>+IF(ISBLANK('Introducerea datelor'!E16),"",'Introducerea datelor'!E16)</f>
        <v>45108</v>
      </c>
      <c r="Z4" s="3"/>
      <c r="AA4" s="3"/>
      <c r="AB4" s="3"/>
      <c r="AC4" s="3"/>
      <c r="AD4" s="3"/>
    </row>
    <row r="5" spans="1:36">
      <c r="C5" s="15"/>
      <c r="D5" s="15"/>
      <c r="E5" s="663" t="str">
        <f>+'Introducerea datelor'!G4</f>
        <v>Consolidarea controlului tuberculozei și reducerea SIDA și a mortalității aferente în Republica Moldova</v>
      </c>
      <c r="F5" s="663"/>
      <c r="G5" s="663"/>
      <c r="H5" s="663"/>
      <c r="I5" s="663"/>
      <c r="J5" s="663"/>
      <c r="K5" s="663"/>
      <c r="L5" s="663"/>
      <c r="M5" s="663"/>
      <c r="N5" s="663"/>
      <c r="O5" s="663"/>
      <c r="Q5" s="15" t="str">
        <f>+'Introducerea datelor'!F16</f>
        <v>Pînă la:</v>
      </c>
      <c r="R5" s="494">
        <f>+IF(ISBLANK('Introducerea datelor'!G16),"",'Introducerea datelor'!G16)</f>
        <v>45291</v>
      </c>
      <c r="T5" s="3"/>
      <c r="U5" s="3"/>
      <c r="V5" s="3"/>
      <c r="W5" s="3"/>
      <c r="X5" s="3"/>
      <c r="Y5" s="3"/>
      <c r="Z5" s="3"/>
      <c r="AA5" s="3"/>
      <c r="AB5" s="3" t="s">
        <v>23</v>
      </c>
      <c r="AC5" s="3"/>
      <c r="AD5" s="3" t="s">
        <v>210</v>
      </c>
      <c r="AE5" s="3"/>
      <c r="AF5" s="3"/>
      <c r="AG5" s="3"/>
      <c r="AH5" s="495"/>
      <c r="AI5" s="495"/>
      <c r="AJ5" s="495"/>
    </row>
    <row r="6" spans="1:36" ht="18.75">
      <c r="C6" s="15"/>
      <c r="D6" s="15"/>
      <c r="E6" s="371"/>
      <c r="F6" s="371"/>
      <c r="G6" s="729" t="s">
        <v>376</v>
      </c>
      <c r="H6" s="729"/>
      <c r="I6" s="729"/>
      <c r="J6" s="729"/>
      <c r="K6" s="729"/>
      <c r="L6" s="729"/>
      <c r="M6" s="371"/>
      <c r="P6" s="101"/>
      <c r="Q6" s="122"/>
      <c r="T6" s="3"/>
      <c r="U6" s="3"/>
      <c r="V6" s="3"/>
      <c r="W6" s="3"/>
      <c r="X6" s="3"/>
      <c r="Y6" s="3"/>
      <c r="Z6" s="3"/>
      <c r="AA6" s="3"/>
      <c r="AB6" s="3"/>
      <c r="AC6" s="3"/>
      <c r="AD6" s="3"/>
      <c r="AE6" s="3"/>
      <c r="AF6" s="3"/>
      <c r="AG6" s="3"/>
      <c r="AH6" s="495"/>
      <c r="AI6" s="495"/>
      <c r="AJ6" s="495"/>
    </row>
    <row r="7" spans="1:36">
      <c r="C7" s="15"/>
      <c r="D7" s="15"/>
      <c r="E7" s="371"/>
      <c r="F7" s="371"/>
      <c r="G7" s="371"/>
      <c r="H7" s="371"/>
      <c r="I7" s="371"/>
      <c r="J7" s="371"/>
      <c r="K7" s="371"/>
      <c r="L7" s="371"/>
      <c r="M7" s="371"/>
      <c r="P7" s="101"/>
      <c r="Q7" s="100"/>
      <c r="R7" s="100"/>
      <c r="T7" s="3"/>
      <c r="U7" s="3"/>
      <c r="V7" s="3"/>
      <c r="W7" s="3"/>
      <c r="X7" s="3"/>
      <c r="Y7" s="3"/>
      <c r="Z7" s="3"/>
      <c r="AA7" s="3"/>
      <c r="AB7" s="3"/>
      <c r="AC7" s="3"/>
      <c r="AD7" s="3"/>
      <c r="AE7" s="3"/>
      <c r="AF7" s="3"/>
      <c r="AG7" s="3"/>
      <c r="AH7" s="495"/>
      <c r="AI7" s="495"/>
      <c r="AJ7" s="495"/>
    </row>
    <row r="8" spans="1:36" s="497" customFormat="1" ht="42" customHeight="1">
      <c r="A8" s="496"/>
      <c r="B8" s="360"/>
      <c r="D8" s="721" t="str">
        <f>+'Introducerea datelor'!B123</f>
        <v>TB I-3(M): Rata mortalităţii prin TB la 100,000 populație</v>
      </c>
      <c r="E8" s="721"/>
      <c r="F8" s="721"/>
      <c r="G8" s="498"/>
      <c r="H8" s="721" t="str">
        <f>+'Introducerea datelor'!B125</f>
        <v xml:space="preserve">TB I-4(M): Prevalența RR-TB și/sau MDR-TB printre cazurile noi de tuberculoză </v>
      </c>
      <c r="I8" s="721"/>
      <c r="J8" s="721"/>
      <c r="K8" s="721"/>
      <c r="L8" s="721"/>
      <c r="M8" s="499"/>
      <c r="N8" s="720" t="str">
        <f>+'Introducerea datelor'!B127</f>
        <v>HIV I-4: Mortalitatea asociată cu SIDA la 100,000 populaţie</v>
      </c>
      <c r="O8" s="720"/>
      <c r="P8" s="720"/>
      <c r="Q8" s="720"/>
      <c r="R8" s="720"/>
      <c r="T8" s="500"/>
      <c r="U8" s="500"/>
      <c r="V8" s="500"/>
      <c r="W8" s="500"/>
      <c r="X8" s="500"/>
      <c r="Y8" s="500"/>
      <c r="Z8" s="500"/>
      <c r="AA8" s="500"/>
      <c r="AB8" s="500"/>
      <c r="AC8" s="500"/>
      <c r="AD8" s="500"/>
      <c r="AE8" s="500"/>
      <c r="AF8" s="500"/>
      <c r="AG8" s="500"/>
    </row>
    <row r="9" spans="1:36" ht="76.5" customHeight="1">
      <c r="C9" s="501" t="s">
        <v>371</v>
      </c>
      <c r="D9" s="716" t="s">
        <v>494</v>
      </c>
      <c r="E9" s="722"/>
      <c r="F9" s="723"/>
      <c r="G9" s="502" t="s">
        <v>372</v>
      </c>
      <c r="H9" s="716" t="s">
        <v>495</v>
      </c>
      <c r="I9" s="722"/>
      <c r="J9" s="722"/>
      <c r="K9" s="722"/>
      <c r="L9" s="723"/>
      <c r="M9" s="502" t="s">
        <v>373</v>
      </c>
      <c r="N9" s="716" t="s">
        <v>502</v>
      </c>
      <c r="O9" s="717"/>
      <c r="P9" s="717"/>
      <c r="Q9" s="717"/>
      <c r="R9" s="718"/>
    </row>
    <row r="10" spans="1:36">
      <c r="C10" s="15"/>
      <c r="D10" s="15"/>
      <c r="E10" s="371"/>
      <c r="F10" s="371"/>
      <c r="G10" s="371"/>
      <c r="H10" s="371"/>
      <c r="I10" s="371"/>
      <c r="J10" s="371"/>
      <c r="K10" s="371"/>
      <c r="L10" s="371"/>
      <c r="M10" s="371"/>
      <c r="P10" s="101"/>
      <c r="Q10" s="100"/>
    </row>
    <row r="11" spans="1:36">
      <c r="C11" s="15"/>
      <c r="D11" s="15"/>
      <c r="E11" s="371"/>
      <c r="F11" s="371"/>
      <c r="G11" s="371"/>
      <c r="H11" s="371"/>
      <c r="I11" s="371"/>
      <c r="J11" s="371"/>
      <c r="K11" s="371"/>
      <c r="L11" s="371"/>
      <c r="M11" s="371"/>
      <c r="P11" s="101"/>
      <c r="Q11" s="100"/>
    </row>
    <row r="12" spans="1:36">
      <c r="C12" s="15"/>
      <c r="D12" s="15"/>
      <c r="E12" s="371"/>
      <c r="F12" s="371"/>
      <c r="G12" s="371"/>
      <c r="H12" s="371"/>
      <c r="I12" s="371"/>
      <c r="J12" s="371"/>
      <c r="K12" s="371"/>
      <c r="L12" s="371"/>
      <c r="M12" s="371"/>
      <c r="P12" s="101"/>
      <c r="Q12" s="100"/>
    </row>
    <row r="13" spans="1:36">
      <c r="C13" s="15"/>
      <c r="D13" s="15"/>
      <c r="E13" s="371"/>
      <c r="F13" s="371"/>
      <c r="G13" s="371"/>
      <c r="H13" s="371"/>
      <c r="I13" s="371"/>
      <c r="J13" s="371"/>
      <c r="K13" s="371"/>
      <c r="L13" s="371"/>
      <c r="M13" s="371"/>
      <c r="P13" s="101"/>
      <c r="Q13" s="100"/>
    </row>
    <row r="14" spans="1:36">
      <c r="C14" s="15"/>
      <c r="D14" s="15"/>
      <c r="E14" s="371"/>
      <c r="F14" s="371"/>
      <c r="G14" s="371"/>
      <c r="H14" s="371"/>
      <c r="I14" s="371"/>
      <c r="J14" s="371"/>
      <c r="K14" s="371"/>
      <c r="L14" s="371"/>
      <c r="M14" s="371"/>
      <c r="P14" s="101"/>
      <c r="Q14" s="100"/>
    </row>
    <row r="15" spans="1:36">
      <c r="C15" s="15"/>
      <c r="D15" s="15"/>
      <c r="E15" s="371"/>
      <c r="F15" s="371"/>
      <c r="G15" s="371"/>
      <c r="H15" s="371"/>
      <c r="I15" s="371"/>
      <c r="J15" s="371"/>
      <c r="K15" s="371"/>
      <c r="L15" s="371"/>
      <c r="M15" s="371"/>
      <c r="P15" s="101"/>
      <c r="Q15" s="100"/>
    </row>
    <row r="16" spans="1:36">
      <c r="C16" s="15"/>
      <c r="D16" s="15"/>
      <c r="E16" s="371"/>
      <c r="F16" s="371"/>
      <c r="G16" s="371"/>
      <c r="H16" s="371"/>
      <c r="I16" s="371"/>
      <c r="J16" s="371"/>
      <c r="K16" s="371"/>
      <c r="L16" s="371"/>
      <c r="M16" s="371"/>
      <c r="P16" s="101"/>
      <c r="Q16" s="100"/>
    </row>
    <row r="17" spans="1:36">
      <c r="C17" s="15"/>
      <c r="D17" s="15"/>
      <c r="E17" s="371"/>
      <c r="F17" s="371"/>
      <c r="G17" s="371"/>
      <c r="H17" s="371"/>
      <c r="I17" s="371"/>
      <c r="J17" s="371"/>
      <c r="K17" s="371"/>
      <c r="L17" s="371"/>
      <c r="M17" s="371"/>
      <c r="P17" s="101"/>
      <c r="Q17" s="100"/>
      <c r="T17" s="3"/>
      <c r="U17" s="3"/>
      <c r="V17" s="3"/>
      <c r="W17" s="3"/>
      <c r="X17" s="3"/>
      <c r="Y17" s="3"/>
      <c r="Z17" s="3"/>
      <c r="AA17" s="3"/>
      <c r="AB17" s="3"/>
      <c r="AC17" s="3"/>
      <c r="AD17" s="3"/>
      <c r="AE17" s="3"/>
      <c r="AF17" s="3"/>
      <c r="AG17" s="3"/>
      <c r="AH17" s="495"/>
      <c r="AI17" s="495"/>
      <c r="AJ17" s="495"/>
    </row>
    <row r="18" spans="1:36" ht="79.5" customHeight="1">
      <c r="A18"/>
      <c r="B18"/>
      <c r="F18"/>
      <c r="G18"/>
    </row>
    <row r="19" spans="1:36" s="497" customFormat="1" ht="50.25" customHeight="1">
      <c r="D19" s="721" t="str">
        <f>+'Introducerea datelor'!B129</f>
        <v xml:space="preserve">HIV I-9a⁽ᴹ⁾: Procentul BSB care trăiesc cu HIV </v>
      </c>
      <c r="E19" s="721"/>
      <c r="F19" s="721"/>
      <c r="G19" s="498"/>
      <c r="H19" s="721" t="str">
        <f>+'Introducerea datelor'!B131</f>
        <v>HIV I-10⁽ᴹ⁾: Procentul LS care trăiesc cu HIV</v>
      </c>
      <c r="I19" s="721"/>
      <c r="J19" s="721"/>
      <c r="K19" s="721"/>
      <c r="L19" s="721"/>
      <c r="M19" s="499"/>
      <c r="N19" s="720" t="str">
        <f>+'Introducerea datelor'!B133</f>
        <v>HIV I-11⁽ᴹ⁾: Procentul persoanelor consumatoare de droguri injectabile care trăiesc cu HIV</v>
      </c>
      <c r="O19" s="720"/>
      <c r="P19" s="720"/>
      <c r="Q19" s="720"/>
      <c r="R19" s="720"/>
      <c r="T19" s="500"/>
      <c r="U19" s="500"/>
      <c r="V19" s="500"/>
      <c r="W19" s="500"/>
      <c r="X19" s="500"/>
      <c r="Y19" s="500"/>
      <c r="Z19" s="500"/>
      <c r="AA19" s="500"/>
      <c r="AB19" s="500"/>
      <c r="AC19" s="500"/>
      <c r="AD19" s="500"/>
      <c r="AE19" s="500"/>
      <c r="AF19" s="500"/>
      <c r="AG19" s="500"/>
    </row>
    <row r="20" spans="1:36" ht="117.75" customHeight="1">
      <c r="A20"/>
      <c r="B20"/>
      <c r="C20" s="501" t="s">
        <v>371</v>
      </c>
      <c r="D20" s="716" t="s">
        <v>481</v>
      </c>
      <c r="E20" s="722"/>
      <c r="F20" s="723"/>
      <c r="G20" s="502" t="s">
        <v>372</v>
      </c>
      <c r="H20" s="716" t="s">
        <v>481</v>
      </c>
      <c r="I20" s="722"/>
      <c r="J20" s="722"/>
      <c r="K20" s="722"/>
      <c r="L20" s="723"/>
      <c r="M20" s="502" t="s">
        <v>373</v>
      </c>
      <c r="N20" s="716" t="s">
        <v>481</v>
      </c>
      <c r="O20" s="717"/>
      <c r="P20" s="717"/>
      <c r="Q20" s="717"/>
      <c r="R20" s="718"/>
    </row>
    <row r="21" spans="1:36" ht="1.5" customHeight="1">
      <c r="A21"/>
      <c r="B21"/>
      <c r="C21" s="15"/>
      <c r="D21" s="15"/>
      <c r="E21" s="371"/>
      <c r="F21" s="371"/>
      <c r="G21" s="371"/>
      <c r="H21" s="371"/>
      <c r="I21" s="371"/>
      <c r="J21" s="371"/>
      <c r="K21" s="371"/>
      <c r="L21" s="371"/>
      <c r="M21" s="371"/>
      <c r="P21" s="101"/>
      <c r="Q21" s="100"/>
    </row>
    <row r="22" spans="1:36" hidden="1">
      <c r="A22"/>
      <c r="B22"/>
      <c r="C22" s="15"/>
      <c r="D22" s="15"/>
      <c r="E22" s="371"/>
      <c r="F22" s="371"/>
      <c r="G22" s="371"/>
      <c r="H22" s="371"/>
      <c r="I22" s="371"/>
      <c r="J22" s="371"/>
      <c r="K22" s="371"/>
      <c r="L22" s="371"/>
      <c r="M22" s="371"/>
      <c r="P22" s="101"/>
      <c r="Q22" s="100"/>
    </row>
    <row r="23" spans="1:36" hidden="1">
      <c r="A23"/>
      <c r="B23"/>
      <c r="C23" s="15"/>
      <c r="D23" s="15"/>
      <c r="E23" s="371"/>
      <c r="F23" s="371"/>
      <c r="G23" s="371"/>
      <c r="H23" s="371"/>
      <c r="I23" s="371"/>
      <c r="J23" s="371"/>
      <c r="K23" s="371"/>
      <c r="L23" s="371"/>
      <c r="M23" s="371"/>
      <c r="P23" s="101"/>
      <c r="Q23" s="100"/>
    </row>
    <row r="24" spans="1:36" hidden="1">
      <c r="A24"/>
      <c r="B24"/>
      <c r="C24" s="15"/>
      <c r="D24" s="15"/>
      <c r="E24" s="371"/>
      <c r="F24" s="371"/>
      <c r="G24" s="371"/>
      <c r="H24" s="371"/>
      <c r="I24" s="371"/>
      <c r="J24" s="371"/>
      <c r="K24" s="371"/>
      <c r="L24" s="371"/>
      <c r="M24" s="371"/>
      <c r="P24" s="101"/>
      <c r="Q24" s="100"/>
    </row>
    <row r="25" spans="1:36" hidden="1">
      <c r="A25"/>
      <c r="B25"/>
      <c r="C25" s="15"/>
      <c r="D25" s="15"/>
      <c r="E25" s="371"/>
      <c r="F25" s="371"/>
      <c r="G25" s="371"/>
      <c r="H25" s="371"/>
      <c r="I25" s="371"/>
      <c r="J25" s="371"/>
      <c r="K25" s="371"/>
      <c r="L25" s="371"/>
      <c r="M25" s="371"/>
      <c r="P25" s="101"/>
      <c r="Q25" s="100"/>
    </row>
    <row r="26" spans="1:36" hidden="1">
      <c r="A26"/>
      <c r="B26"/>
      <c r="C26" s="15"/>
      <c r="D26" s="15"/>
      <c r="E26" s="371"/>
      <c r="F26" s="371"/>
      <c r="G26" s="371"/>
      <c r="H26" s="371"/>
      <c r="I26" s="371"/>
      <c r="J26" s="371"/>
      <c r="K26" s="371"/>
      <c r="L26" s="371"/>
      <c r="M26" s="371"/>
      <c r="P26" s="101"/>
      <c r="Q26" s="100"/>
    </row>
    <row r="27" spans="1:36" hidden="1">
      <c r="A27"/>
      <c r="B27"/>
      <c r="C27" s="15"/>
      <c r="D27" s="15"/>
      <c r="E27" s="371"/>
      <c r="F27" s="371"/>
      <c r="G27" s="371"/>
      <c r="H27" s="371"/>
      <c r="I27" s="371"/>
      <c r="J27" s="371"/>
      <c r="K27" s="371"/>
      <c r="L27" s="371"/>
      <c r="M27" s="371"/>
      <c r="P27" s="101"/>
      <c r="Q27" s="100"/>
    </row>
    <row r="28" spans="1:36" hidden="1">
      <c r="A28"/>
      <c r="B28"/>
      <c r="C28" s="15"/>
      <c r="D28" s="15"/>
      <c r="E28" s="371"/>
      <c r="F28" s="371"/>
      <c r="G28" s="371"/>
      <c r="H28" s="371"/>
      <c r="I28" s="371"/>
      <c r="J28" s="371"/>
      <c r="K28" s="371"/>
      <c r="L28" s="371"/>
      <c r="M28" s="371"/>
      <c r="P28" s="101"/>
      <c r="Q28" s="100"/>
    </row>
    <row r="29" spans="1:36" hidden="1">
      <c r="F29"/>
      <c r="G29"/>
      <c r="T29" s="3"/>
      <c r="U29" s="3"/>
      <c r="V29" s="3"/>
      <c r="W29" s="3"/>
      <c r="X29" s="3"/>
      <c r="Y29" s="3"/>
      <c r="Z29" s="3"/>
      <c r="AA29" s="3"/>
      <c r="AB29" s="3"/>
      <c r="AC29" s="3"/>
      <c r="AD29" s="3"/>
      <c r="AE29" s="3"/>
      <c r="AF29" s="3"/>
      <c r="AG29" s="3"/>
      <c r="AH29" s="495"/>
      <c r="AI29" s="495"/>
      <c r="AJ29" s="495"/>
    </row>
    <row r="30" spans="1:36">
      <c r="C30" s="15"/>
      <c r="D30" s="15"/>
      <c r="E30" s="371"/>
      <c r="F30" s="371"/>
      <c r="G30" s="371"/>
      <c r="H30" s="371"/>
      <c r="I30" s="371"/>
      <c r="J30" s="371"/>
      <c r="K30" s="371"/>
      <c r="L30" s="371"/>
      <c r="M30" s="371"/>
      <c r="P30" s="101"/>
      <c r="Q30" s="100"/>
      <c r="T30" s="3"/>
      <c r="U30" s="3"/>
      <c r="V30" s="3"/>
      <c r="W30" s="3"/>
      <c r="X30" s="3"/>
      <c r="Y30" s="3"/>
      <c r="Z30" s="3"/>
      <c r="AA30" s="3"/>
      <c r="AB30" s="3"/>
      <c r="AC30" s="3"/>
      <c r="AD30" s="3"/>
      <c r="AE30" s="3"/>
      <c r="AF30" s="3"/>
      <c r="AG30" s="3"/>
      <c r="AH30" s="495"/>
      <c r="AI30" s="495"/>
      <c r="AJ30" s="495"/>
    </row>
    <row r="31" spans="1:36">
      <c r="C31" s="15"/>
      <c r="D31" s="15"/>
      <c r="E31" s="371"/>
      <c r="F31" s="371"/>
      <c r="G31" s="371"/>
      <c r="H31" s="371"/>
      <c r="I31" s="371"/>
      <c r="J31" s="371"/>
      <c r="K31" s="371"/>
      <c r="L31" s="371"/>
      <c r="M31" s="371"/>
      <c r="P31" s="101"/>
      <c r="Q31" s="100"/>
      <c r="T31" s="3"/>
      <c r="U31" s="3"/>
      <c r="V31" s="3"/>
      <c r="W31" s="3"/>
      <c r="X31" s="3"/>
      <c r="Y31" s="3"/>
      <c r="Z31" s="3"/>
      <c r="AA31" s="3"/>
      <c r="AB31" s="3"/>
      <c r="AC31" s="3"/>
      <c r="AD31" s="3"/>
      <c r="AE31" s="3"/>
      <c r="AF31" s="3"/>
      <c r="AG31" s="3"/>
      <c r="AH31" s="495"/>
      <c r="AI31" s="495"/>
      <c r="AJ31" s="495"/>
    </row>
    <row r="32" spans="1:36">
      <c r="C32" s="15"/>
      <c r="D32" s="15"/>
      <c r="E32" s="371"/>
      <c r="F32" s="371"/>
      <c r="G32" s="371"/>
      <c r="H32" s="371"/>
      <c r="I32" s="371"/>
      <c r="J32" s="371"/>
      <c r="K32" s="371"/>
      <c r="L32" s="371"/>
      <c r="M32" s="371"/>
      <c r="P32" s="101"/>
      <c r="Q32" s="100"/>
      <c r="T32" s="3"/>
      <c r="U32" s="3"/>
      <c r="V32" s="3"/>
      <c r="W32" s="3"/>
      <c r="X32" s="3"/>
      <c r="Y32" s="3"/>
      <c r="Z32" s="3"/>
      <c r="AA32" s="3"/>
      <c r="AB32" s="3"/>
      <c r="AC32" s="3"/>
      <c r="AD32" s="3"/>
      <c r="AE32" s="3"/>
      <c r="AF32" s="3"/>
      <c r="AG32" s="3"/>
      <c r="AH32" s="495"/>
      <c r="AI32" s="495"/>
      <c r="AJ32" s="495"/>
    </row>
    <row r="33" spans="1:38" ht="18.75">
      <c r="C33" s="14"/>
      <c r="D33" s="15"/>
      <c r="E33" s="84"/>
      <c r="F33" s="724"/>
      <c r="G33" s="724"/>
      <c r="H33" s="724"/>
      <c r="I33" s="724"/>
      <c r="J33" s="724"/>
      <c r="K33" s="724"/>
      <c r="L33" s="724"/>
      <c r="T33" s="3"/>
      <c r="U33" s="3"/>
      <c r="V33" s="3"/>
      <c r="W33" s="3"/>
      <c r="X33" s="3"/>
      <c r="Y33" s="3"/>
      <c r="Z33" s="3"/>
      <c r="AA33" s="3"/>
      <c r="AB33" s="3"/>
      <c r="AC33" s="3"/>
      <c r="AD33" s="3"/>
      <c r="AE33" s="3"/>
      <c r="AF33" s="3"/>
      <c r="AG33" s="3"/>
      <c r="AH33" s="495"/>
      <c r="AI33" s="495"/>
      <c r="AJ33" s="495"/>
    </row>
    <row r="34" spans="1:38" ht="43.5" customHeight="1">
      <c r="C34" s="725" t="s">
        <v>374</v>
      </c>
      <c r="D34" s="725"/>
      <c r="E34" s="725"/>
      <c r="F34" s="372" t="s">
        <v>352</v>
      </c>
      <c r="G34" s="372" t="s">
        <v>353</v>
      </c>
      <c r="H34" s="712" t="s">
        <v>244</v>
      </c>
      <c r="I34" s="713"/>
      <c r="J34" s="714" t="s">
        <v>245</v>
      </c>
      <c r="K34" s="715"/>
      <c r="L34" s="158" t="s">
        <v>246</v>
      </c>
      <c r="M34" s="709" t="s">
        <v>375</v>
      </c>
      <c r="N34" s="710"/>
      <c r="O34" s="710"/>
      <c r="P34" s="710"/>
      <c r="Q34" s="710"/>
      <c r="R34" s="711"/>
      <c r="T34" s="3"/>
      <c r="U34" s="503"/>
      <c r="V34" s="503"/>
      <c r="W34" s="503"/>
      <c r="X34" s="503"/>
      <c r="Y34" s="503"/>
      <c r="Z34" s="503"/>
      <c r="AA34" s="503"/>
      <c r="AB34" s="503"/>
      <c r="AC34" s="503"/>
      <c r="AD34" s="503"/>
      <c r="AE34" s="503"/>
      <c r="AF34" s="503"/>
      <c r="AG34" s="3"/>
      <c r="AH34" s="503"/>
      <c r="AI34" s="503"/>
      <c r="AJ34" s="503"/>
      <c r="AK34" s="504"/>
      <c r="AL34" s="504"/>
    </row>
    <row r="35" spans="1:38" ht="56.25" customHeight="1">
      <c r="A35" s="505">
        <v>1</v>
      </c>
      <c r="B35" s="273" t="str">
        <f>VLOOKUP(A35,Table1[],2,0)</f>
        <v>Indicator de impact</v>
      </c>
      <c r="C35" s="700" t="str">
        <f>VLOOKUP(A35,Table1[],4,0)</f>
        <v>TB I-3(M): Rata mortalităţii prin TB la 100,000 populație</v>
      </c>
      <c r="D35" s="700"/>
      <c r="E35" s="700"/>
      <c r="F35" s="232">
        <f>HLOOKUP($R$3,Indicatori,A35*2,0)</f>
        <v>4.3</v>
      </c>
      <c r="G35" s="232">
        <f t="shared" ref="G35:G58" si="0">HLOOKUP($R$3,Indicatori,A35*2+1,0)</f>
        <v>4.7</v>
      </c>
      <c r="H35" s="701">
        <f>+IF(ISERROR(G35/F35),0,F35/G35)</f>
        <v>0.91489361702127647</v>
      </c>
      <c r="I35" s="702"/>
      <c r="J35" s="702"/>
      <c r="K35" s="702"/>
      <c r="L35" s="703"/>
      <c r="M35" s="706" t="s">
        <v>493</v>
      </c>
      <c r="N35" s="707"/>
      <c r="O35" s="707"/>
      <c r="P35" s="707"/>
      <c r="Q35" s="707"/>
      <c r="R35" s="708"/>
      <c r="S35" s="245"/>
      <c r="T35" s="3"/>
      <c r="U35" s="503"/>
      <c r="V35" s="503"/>
      <c r="W35" s="503"/>
      <c r="X35" s="503"/>
      <c r="Y35" s="503"/>
      <c r="Z35" s="503"/>
      <c r="AA35" s="503"/>
      <c r="AB35" s="503"/>
      <c r="AC35" s="503"/>
      <c r="AD35" s="503"/>
      <c r="AE35" s="503"/>
      <c r="AF35" s="503"/>
      <c r="AG35" s="3"/>
      <c r="AH35" s="503"/>
      <c r="AI35" s="503"/>
      <c r="AJ35" s="503"/>
      <c r="AK35" s="504"/>
      <c r="AL35" s="504"/>
    </row>
    <row r="36" spans="1:38" ht="60.75" customHeight="1">
      <c r="A36" s="505">
        <v>2</v>
      </c>
      <c r="B36" s="273" t="str">
        <f>VLOOKUP(A36,Table1[],2,0)</f>
        <v>Indicator de impact</v>
      </c>
      <c r="C36" s="700" t="str">
        <f>VLOOKUP(A36,Table1[],4,0)</f>
        <v xml:space="preserve">TB I-4(M): Prevalența RR-TB și/sau MDR-TB printre cazurile noi de tuberculoză </v>
      </c>
      <c r="D36" s="700"/>
      <c r="E36" s="700"/>
      <c r="F36" s="517">
        <f t="shared" ref="F36:F58" si="1">HLOOKUP($R$3,Indicatori,A36*2,0)</f>
        <v>21.92</v>
      </c>
      <c r="G36" s="517">
        <f t="shared" si="0"/>
        <v>24.66</v>
      </c>
      <c r="H36" s="701">
        <f>+IF(ISERROR(F36/G36),0,F36/G36)</f>
        <v>0.88888888888888895</v>
      </c>
      <c r="I36" s="702"/>
      <c r="J36" s="702"/>
      <c r="K36" s="702"/>
      <c r="L36" s="703"/>
      <c r="M36" s="706" t="s">
        <v>497</v>
      </c>
      <c r="N36" s="707"/>
      <c r="O36" s="707"/>
      <c r="P36" s="707"/>
      <c r="Q36" s="707"/>
      <c r="R36" s="708"/>
      <c r="S36" s="245"/>
      <c r="T36" s="3"/>
      <c r="U36" s="503"/>
      <c r="V36" s="503"/>
      <c r="W36" s="519"/>
      <c r="X36" s="503"/>
      <c r="Y36" s="503"/>
      <c r="Z36" s="503"/>
      <c r="AA36" s="503"/>
      <c r="AB36" s="503"/>
      <c r="AC36" s="503"/>
      <c r="AD36" s="503"/>
      <c r="AE36" s="503"/>
      <c r="AF36" s="503"/>
      <c r="AG36" s="3"/>
      <c r="AH36" s="503"/>
      <c r="AI36" s="503"/>
      <c r="AJ36" s="503"/>
      <c r="AK36" s="504"/>
      <c r="AL36" s="504"/>
    </row>
    <row r="37" spans="1:38" ht="57.75" customHeight="1">
      <c r="A37" s="505">
        <v>3</v>
      </c>
      <c r="B37" s="273" t="str">
        <f>VLOOKUP(A37,Table1[],2,0)</f>
        <v>Indicator de impact</v>
      </c>
      <c r="C37" s="700" t="str">
        <f>VLOOKUP(A37,Table1[],4,0)</f>
        <v>HIV I-4: Mortalitatea asociată cu SIDA la 100,000 populaţie</v>
      </c>
      <c r="D37" s="700"/>
      <c r="E37" s="700"/>
      <c r="F37" s="232">
        <f t="shared" si="1"/>
        <v>9.5500000000000007</v>
      </c>
      <c r="G37" s="517" t="str">
        <f t="shared" si="0"/>
        <v>n/a</v>
      </c>
      <c r="H37" s="701">
        <f>+IF(ISERROR(G37/F37),0,F37/G37)</f>
        <v>0</v>
      </c>
      <c r="I37" s="702"/>
      <c r="J37" s="702"/>
      <c r="K37" s="702"/>
      <c r="L37" s="703"/>
      <c r="M37" s="706" t="s">
        <v>504</v>
      </c>
      <c r="N37" s="707"/>
      <c r="O37" s="707"/>
      <c r="P37" s="707"/>
      <c r="Q37" s="707"/>
      <c r="R37" s="708"/>
      <c r="S37" s="245"/>
      <c r="T37" s="3"/>
      <c r="U37" s="503"/>
      <c r="V37" s="503"/>
      <c r="W37" s="503"/>
      <c r="X37" s="503"/>
      <c r="Y37" s="503"/>
      <c r="Z37" s="503"/>
      <c r="AA37" s="506"/>
      <c r="AB37" s="503"/>
      <c r="AC37" s="503"/>
      <c r="AD37" s="503"/>
      <c r="AE37" s="503"/>
      <c r="AF37" s="503"/>
      <c r="AG37" s="3"/>
      <c r="AH37" s="503"/>
      <c r="AI37" s="503"/>
      <c r="AJ37" s="503"/>
      <c r="AK37" s="504"/>
      <c r="AL37" s="504"/>
    </row>
    <row r="38" spans="1:38" ht="0.75" customHeight="1">
      <c r="A38" s="505">
        <v>4</v>
      </c>
      <c r="B38" s="273" t="str">
        <f>VLOOKUP(A38,Table1[],2,0)</f>
        <v>Indicator de impact</v>
      </c>
      <c r="C38" s="700" t="str">
        <f>VLOOKUP(A38,Table1[],4,0)</f>
        <v xml:space="preserve">HIV I-9a⁽ᴹ⁾: Procentul BSB care trăiesc cu HIV </v>
      </c>
      <c r="D38" s="700"/>
      <c r="E38" s="700"/>
      <c r="F38" s="364" t="str">
        <f t="shared" si="1"/>
        <v>n/a</v>
      </c>
      <c r="G38" s="364" t="str">
        <f t="shared" si="0"/>
        <v>n/a</v>
      </c>
      <c r="H38" s="701">
        <f>+IF(ISERROR(F38/G38),0,G38/F38)</f>
        <v>0</v>
      </c>
      <c r="I38" s="702"/>
      <c r="J38" s="702"/>
      <c r="K38" s="702"/>
      <c r="L38" s="703"/>
      <c r="M38" s="726" t="s">
        <v>481</v>
      </c>
      <c r="N38" s="727"/>
      <c r="O38" s="727"/>
      <c r="P38" s="727"/>
      <c r="Q38" s="727"/>
      <c r="R38" s="728"/>
      <c r="S38" s="245"/>
      <c r="T38" s="3"/>
      <c r="U38" s="503"/>
      <c r="V38" s="503"/>
      <c r="W38" s="503"/>
      <c r="X38" s="503"/>
      <c r="Y38" s="503"/>
      <c r="Z38" s="503"/>
      <c r="AA38" s="506"/>
      <c r="AB38" s="503"/>
      <c r="AC38" s="503"/>
      <c r="AD38" s="503"/>
      <c r="AE38" s="503"/>
      <c r="AF38" s="503"/>
      <c r="AG38" s="3"/>
      <c r="AH38" s="503"/>
      <c r="AI38" s="503"/>
      <c r="AJ38" s="503"/>
      <c r="AK38" s="504"/>
      <c r="AL38" s="504"/>
    </row>
    <row r="39" spans="1:38" ht="43.5" hidden="1" customHeight="1">
      <c r="A39" s="505">
        <v>5</v>
      </c>
      <c r="B39" s="273" t="str">
        <f>VLOOKUP(A39,Table1[],2,0)</f>
        <v>Indicator de impact</v>
      </c>
      <c r="C39" s="700" t="str">
        <f>VLOOKUP(A39,Table1[],4,0)</f>
        <v>HIV I-10⁽ᴹ⁾: Procentul LS care trăiesc cu HIV</v>
      </c>
      <c r="D39" s="700"/>
      <c r="E39" s="700"/>
      <c r="F39" s="364" t="str">
        <f t="shared" si="1"/>
        <v>n/a</v>
      </c>
      <c r="G39" s="364" t="str">
        <f t="shared" si="0"/>
        <v>n/a</v>
      </c>
      <c r="H39" s="701">
        <f t="shared" ref="H39:H45" si="2">+IF(ISERROR(F39/G39),0,G39/F39)</f>
        <v>0</v>
      </c>
      <c r="I39" s="702"/>
      <c r="J39" s="702"/>
      <c r="K39" s="702"/>
      <c r="L39" s="703"/>
      <c r="M39" s="726" t="s">
        <v>481</v>
      </c>
      <c r="N39" s="727"/>
      <c r="O39" s="727"/>
      <c r="P39" s="727"/>
      <c r="Q39" s="727"/>
      <c r="R39" s="728"/>
      <c r="S39" s="245"/>
      <c r="T39" s="3"/>
      <c r="U39" s="503"/>
      <c r="V39" s="503"/>
      <c r="W39" s="503"/>
      <c r="X39" s="503"/>
      <c r="Y39" s="503"/>
      <c r="Z39" s="503"/>
      <c r="AA39" s="506"/>
      <c r="AB39" s="503"/>
      <c r="AC39" s="503"/>
      <c r="AD39" s="503"/>
      <c r="AE39" s="503"/>
      <c r="AF39" s="503"/>
      <c r="AG39" s="3"/>
      <c r="AH39" s="503"/>
      <c r="AI39" s="503"/>
      <c r="AJ39" s="503"/>
      <c r="AK39" s="504"/>
      <c r="AL39" s="504"/>
    </row>
    <row r="40" spans="1:38" ht="43.5" hidden="1" customHeight="1">
      <c r="A40" s="505">
        <v>6</v>
      </c>
      <c r="B40" s="273" t="str">
        <f>VLOOKUP(A40,Table1[],2,0)</f>
        <v>Indicator de impact</v>
      </c>
      <c r="C40" s="700" t="str">
        <f>VLOOKUP(A40,Table1[],4,0)</f>
        <v>HIV I-11⁽ᴹ⁾: Procentul persoanelor consumatoare de droguri injectabile care trăiesc cu HIV</v>
      </c>
      <c r="D40" s="700"/>
      <c r="E40" s="700"/>
      <c r="F40" s="364" t="str">
        <f t="shared" si="1"/>
        <v>n/a</v>
      </c>
      <c r="G40" s="364" t="str">
        <f t="shared" si="0"/>
        <v>n/a</v>
      </c>
      <c r="H40" s="701">
        <f t="shared" si="2"/>
        <v>0</v>
      </c>
      <c r="I40" s="702"/>
      <c r="J40" s="702"/>
      <c r="K40" s="702"/>
      <c r="L40" s="703"/>
      <c r="M40" s="726" t="s">
        <v>481</v>
      </c>
      <c r="N40" s="727"/>
      <c r="O40" s="727"/>
      <c r="P40" s="727"/>
      <c r="Q40" s="727"/>
      <c r="R40" s="728"/>
      <c r="S40" s="245"/>
      <c r="T40" s="3"/>
      <c r="U40" s="503"/>
      <c r="V40" s="503"/>
      <c r="W40" s="503"/>
      <c r="X40" s="503"/>
      <c r="Y40" s="503"/>
      <c r="Z40" s="503"/>
      <c r="AA40" s="506"/>
      <c r="AB40" s="503"/>
      <c r="AC40" s="503"/>
      <c r="AD40" s="503"/>
      <c r="AE40" s="503"/>
      <c r="AF40" s="503"/>
      <c r="AG40" s="3"/>
      <c r="AH40" s="503"/>
      <c r="AI40" s="503"/>
      <c r="AJ40" s="503"/>
      <c r="AK40" s="504"/>
      <c r="AL40" s="504"/>
    </row>
    <row r="41" spans="1:38" ht="58.5" customHeight="1">
      <c r="A41" s="505">
        <v>7</v>
      </c>
      <c r="B41" s="273" t="str">
        <f>VLOOKUP(A41,Table1[],2,0)</f>
        <v>Indicator de rezultat</v>
      </c>
      <c r="C41" s="700" t="str">
        <f>VLOOKUP(A41,Table1[],4,0)</f>
        <v>TB O-4(M): Rata succesului tratamentului pacienților cu RR TB și/sau MDR-TB</v>
      </c>
      <c r="D41" s="700"/>
      <c r="E41" s="700"/>
      <c r="F41" s="363">
        <f t="shared" si="1"/>
        <v>0.69440000000000002</v>
      </c>
      <c r="G41" s="363">
        <f t="shared" si="0"/>
        <v>0.6341</v>
      </c>
      <c r="H41" s="701">
        <f>+IF(ISERROR(F41/G41),0,G41/F41)</f>
        <v>0.91316244239631339</v>
      </c>
      <c r="I41" s="702"/>
      <c r="J41" s="702"/>
      <c r="K41" s="702"/>
      <c r="L41" s="703"/>
      <c r="M41" s="706" t="s">
        <v>496</v>
      </c>
      <c r="N41" s="707"/>
      <c r="O41" s="707"/>
      <c r="P41" s="707"/>
      <c r="Q41" s="707"/>
      <c r="R41" s="708"/>
      <c r="S41" s="245"/>
      <c r="T41" s="3"/>
      <c r="U41" s="503"/>
      <c r="V41" s="503"/>
      <c r="W41" s="503"/>
      <c r="X41" s="503"/>
      <c r="Y41" s="503"/>
      <c r="Z41" s="503"/>
      <c r="AA41" s="506"/>
      <c r="AB41" s="503"/>
      <c r="AC41" s="503"/>
      <c r="AD41" s="503"/>
      <c r="AE41" s="503"/>
      <c r="AF41" s="503"/>
      <c r="AG41" s="3"/>
      <c r="AH41" s="12"/>
      <c r="AI41" s="12"/>
      <c r="AJ41" s="12"/>
    </row>
    <row r="42" spans="1:38" ht="71.45" customHeight="1">
      <c r="A42" s="505">
        <v>8</v>
      </c>
      <c r="B42" s="273" t="str">
        <f>VLOOKUP(A42,Table1[],2,0)</f>
        <v>Indicator de rezultat</v>
      </c>
      <c r="C42" s="700" t="str">
        <f>VLOOKUP(A42,Table1[],4,0)</f>
        <v>TB O-5(M): Rata de acoperire cu tratament antituberculos</v>
      </c>
      <c r="D42" s="700"/>
      <c r="E42" s="700"/>
      <c r="F42" s="363">
        <f t="shared" si="1"/>
        <v>0.92820000000000003</v>
      </c>
      <c r="G42" s="363">
        <f t="shared" si="0"/>
        <v>0.87</v>
      </c>
      <c r="H42" s="701">
        <f>+IF(ISERROR(F42/G42),0,G42/F42)</f>
        <v>0.93729799612152553</v>
      </c>
      <c r="I42" s="702"/>
      <c r="J42" s="702"/>
      <c r="K42" s="702"/>
      <c r="L42" s="703"/>
      <c r="M42" s="706" t="s">
        <v>498</v>
      </c>
      <c r="N42" s="707"/>
      <c r="O42" s="707"/>
      <c r="P42" s="707"/>
      <c r="Q42" s="707"/>
      <c r="R42" s="708"/>
      <c r="S42" s="245"/>
      <c r="T42" s="3"/>
      <c r="U42" s="503"/>
      <c r="V42" s="503"/>
      <c r="W42" s="503"/>
      <c r="X42" s="503"/>
      <c r="Y42" s="503"/>
      <c r="Z42" s="503"/>
      <c r="AA42" s="506"/>
      <c r="AB42" s="503"/>
      <c r="AC42" s="503"/>
      <c r="AD42" s="503"/>
      <c r="AE42" s="503"/>
      <c r="AF42" s="503"/>
      <c r="AG42" s="3"/>
      <c r="AH42" s="12"/>
      <c r="AI42" s="12"/>
      <c r="AJ42" s="12"/>
    </row>
    <row r="43" spans="1:38" ht="0.75" customHeight="1">
      <c r="A43" s="505">
        <v>9</v>
      </c>
      <c r="B43" s="273" t="str">
        <f>VLOOKUP(A43,Table1[],2,0)</f>
        <v>Indicator de rezultat</v>
      </c>
      <c r="C43" s="700" t="str">
        <f>VLOOKUP(A43,Table1[],4,0)</f>
        <v>HIV O-4a⁽ᴹ⁾: Procentul BSB care raportează utilizarea prezervativului în timpul ultimului act de sex anal cu un partener de sex masculin</v>
      </c>
      <c r="D43" s="700"/>
      <c r="E43" s="700"/>
      <c r="F43" s="363" t="str">
        <f t="shared" si="1"/>
        <v>n/a</v>
      </c>
      <c r="G43" s="363" t="str">
        <f t="shared" si="0"/>
        <v>n/a</v>
      </c>
      <c r="H43" s="701">
        <f t="shared" si="2"/>
        <v>0</v>
      </c>
      <c r="I43" s="702"/>
      <c r="J43" s="702"/>
      <c r="K43" s="702"/>
      <c r="L43" s="703"/>
      <c r="M43" s="726" t="s">
        <v>481</v>
      </c>
      <c r="N43" s="727"/>
      <c r="O43" s="727"/>
      <c r="P43" s="727"/>
      <c r="Q43" s="727"/>
      <c r="R43" s="728"/>
      <c r="S43" s="245"/>
      <c r="T43" s="3"/>
      <c r="U43" s="503"/>
      <c r="V43" s="503"/>
      <c r="W43" s="503"/>
      <c r="X43" s="503"/>
      <c r="Y43" s="503"/>
      <c r="Z43" s="503"/>
      <c r="AA43" s="506"/>
      <c r="AB43" s="503"/>
      <c r="AC43" s="503"/>
      <c r="AD43" s="503"/>
      <c r="AE43" s="503"/>
      <c r="AF43" s="503"/>
      <c r="AG43" s="3"/>
      <c r="AH43" s="12"/>
      <c r="AI43" s="12"/>
      <c r="AJ43" s="12"/>
    </row>
    <row r="44" spans="1:38" ht="54" hidden="1" customHeight="1">
      <c r="A44" s="505">
        <v>10</v>
      </c>
      <c r="B44" s="273" t="str">
        <f>VLOOKUP(A44,Table1[],2,0)</f>
        <v>Indicator de rezultat</v>
      </c>
      <c r="C44" s="700" t="str">
        <f>VLOOKUP(A44,Table1[],4,0)</f>
        <v>HIV O-5⁽ᴹ⁾: Procentul LS care raportează utilizarea prezervativului cu ultimul lor client</v>
      </c>
      <c r="D44" s="700"/>
      <c r="E44" s="700"/>
      <c r="F44" s="363" t="str">
        <f t="shared" si="1"/>
        <v>n/a</v>
      </c>
      <c r="G44" s="363" t="str">
        <f t="shared" si="0"/>
        <v>n/a</v>
      </c>
      <c r="H44" s="701">
        <f t="shared" si="2"/>
        <v>0</v>
      </c>
      <c r="I44" s="702"/>
      <c r="J44" s="702"/>
      <c r="K44" s="702"/>
      <c r="L44" s="703"/>
      <c r="M44" s="726" t="s">
        <v>481</v>
      </c>
      <c r="N44" s="727"/>
      <c r="O44" s="727"/>
      <c r="P44" s="727"/>
      <c r="Q44" s="727"/>
      <c r="R44" s="728"/>
      <c r="S44" s="245"/>
      <c r="T44" s="3"/>
      <c r="U44" s="503"/>
      <c r="V44" s="503"/>
      <c r="W44" s="503"/>
      <c r="X44" s="503"/>
      <c r="Y44" s="503"/>
      <c r="Z44" s="503"/>
      <c r="AA44" s="506"/>
      <c r="AB44" s="503"/>
      <c r="AC44" s="503"/>
      <c r="AD44" s="503"/>
      <c r="AE44" s="503"/>
      <c r="AF44" s="503"/>
      <c r="AG44" s="3"/>
      <c r="AH44" s="12"/>
      <c r="AI44" s="12"/>
      <c r="AJ44" s="12"/>
    </row>
    <row r="45" spans="1:38" ht="43.5" hidden="1" customHeight="1">
      <c r="A45" s="505">
        <v>11</v>
      </c>
      <c r="B45" s="273" t="str">
        <f>VLOOKUP(A45,Table1[],2,0)</f>
        <v>Indicator de rezultat</v>
      </c>
      <c r="C45" s="700" t="str">
        <f>VLOOKUP(A45,Table1[],4,0)</f>
        <v>HIV O-6⁽ᴹ⁾: Procentul PCDI care raportează utilizarea setului pentru injectare steril la ultima lor injectare</v>
      </c>
      <c r="D45" s="700"/>
      <c r="E45" s="700"/>
      <c r="F45" s="363" t="str">
        <f t="shared" si="1"/>
        <v>n/a</v>
      </c>
      <c r="G45" s="363" t="str">
        <f t="shared" si="0"/>
        <v>n/a</v>
      </c>
      <c r="H45" s="701">
        <f t="shared" si="2"/>
        <v>0</v>
      </c>
      <c r="I45" s="702"/>
      <c r="J45" s="702"/>
      <c r="K45" s="702"/>
      <c r="L45" s="703"/>
      <c r="M45" s="726" t="s">
        <v>481</v>
      </c>
      <c r="N45" s="727"/>
      <c r="O45" s="727"/>
      <c r="P45" s="727"/>
      <c r="Q45" s="727"/>
      <c r="R45" s="728"/>
      <c r="S45" s="245"/>
      <c r="T45" s="3"/>
      <c r="U45" s="503"/>
      <c r="V45" s="503"/>
      <c r="W45" s="503"/>
      <c r="X45" s="503"/>
      <c r="Y45" s="503"/>
      <c r="Z45" s="503"/>
      <c r="AA45" s="506"/>
      <c r="AB45" s="503"/>
      <c r="AC45" s="503"/>
      <c r="AD45" s="503"/>
      <c r="AE45" s="503"/>
      <c r="AF45" s="503"/>
      <c r="AG45" s="3"/>
      <c r="AH45" s="12"/>
      <c r="AI45" s="12"/>
      <c r="AJ45" s="12"/>
    </row>
    <row r="46" spans="1:38" ht="59.25" customHeight="1">
      <c r="A46" s="505">
        <v>12</v>
      </c>
      <c r="B46" s="273" t="str">
        <f>VLOOKUP(A46,Table1[],2,0)</f>
        <v>Indicator de rezultat</v>
      </c>
      <c r="C46" s="700" t="str">
        <f>VLOOKUP(A46,Table1[],4,0)</f>
        <v>HIV O-11⁽ᴹ⁾: Procentul PTH care își cunosc statutul HIV la sfîrșitul perioadei de raportare</v>
      </c>
      <c r="D46" s="700"/>
      <c r="E46" s="700"/>
      <c r="F46" s="363">
        <f t="shared" si="1"/>
        <v>0.81499999999999995</v>
      </c>
      <c r="G46" s="363" t="str">
        <f t="shared" si="0"/>
        <v>n/a</v>
      </c>
      <c r="H46" s="701">
        <f t="shared" ref="H46:H59" si="3">+IF(ISERROR(G46/F46),0,G46/F46)</f>
        <v>0</v>
      </c>
      <c r="I46" s="702"/>
      <c r="J46" s="702"/>
      <c r="K46" s="702"/>
      <c r="L46" s="703"/>
      <c r="M46" s="706" t="s">
        <v>503</v>
      </c>
      <c r="N46" s="707"/>
      <c r="O46" s="707"/>
      <c r="P46" s="707"/>
      <c r="Q46" s="707"/>
      <c r="R46" s="708"/>
      <c r="S46" s="245"/>
      <c r="Z46" s="503"/>
      <c r="AA46" s="506"/>
      <c r="AB46" s="503"/>
      <c r="AC46" s="503"/>
      <c r="AD46" s="503"/>
      <c r="AE46" s="503"/>
      <c r="AF46" s="503"/>
      <c r="AG46" s="3"/>
      <c r="AH46" s="12"/>
      <c r="AI46" s="12"/>
      <c r="AJ46" s="12"/>
    </row>
    <row r="47" spans="1:38" ht="63.75" customHeight="1">
      <c r="A47" s="505">
        <v>13</v>
      </c>
      <c r="B47" s="273" t="str">
        <f>VLOOKUP(A47,Table1[],2,0)</f>
        <v>Indicator de rezultat</v>
      </c>
      <c r="C47" s="700" t="str">
        <f>VLOOKUP(A47,Table1[],4,0)</f>
        <v>HIV O-12: Procentul PTH aflați în tratament ARV, care prezintă supresie virală</v>
      </c>
      <c r="D47" s="700"/>
      <c r="E47" s="700"/>
      <c r="F47" s="363">
        <f t="shared" si="1"/>
        <v>0.88</v>
      </c>
      <c r="G47" s="363">
        <f t="shared" si="0"/>
        <v>0.88500000000000001</v>
      </c>
      <c r="H47" s="701">
        <f t="shared" si="3"/>
        <v>1.0056818181818181</v>
      </c>
      <c r="I47" s="702"/>
      <c r="J47" s="702"/>
      <c r="K47" s="702"/>
      <c r="L47" s="703"/>
      <c r="M47" s="706" t="s">
        <v>505</v>
      </c>
      <c r="N47" s="707"/>
      <c r="O47" s="707"/>
      <c r="P47" s="707"/>
      <c r="Q47" s="707"/>
      <c r="R47" s="708"/>
      <c r="S47" s="245"/>
      <c r="Z47" s="503"/>
      <c r="AA47" s="506"/>
      <c r="AB47" s="503"/>
      <c r="AC47" s="503"/>
      <c r="AD47" s="504"/>
      <c r="AE47" s="504"/>
      <c r="AF47" s="504"/>
      <c r="AH47" s="12"/>
      <c r="AI47" s="12"/>
      <c r="AJ47" s="12"/>
    </row>
    <row r="48" spans="1:38" ht="62.25" customHeight="1">
      <c r="A48" s="505">
        <v>14</v>
      </c>
      <c r="B48" s="273" t="str">
        <f>VLOOKUP(A48,Table1[],2,0)</f>
        <v>Indicator de proces</v>
      </c>
      <c r="C48" s="700" t="str">
        <f>VLOOKUP(A48,Table1[],4,0)</f>
        <v xml:space="preserve">TCP-1⁽ᴹ⁾: Numărul cazurilor de tuberculoză, toate formele (bacteriologic confirmate și diagnosticate clinic, cazuri noi și recidive) notificate către autoritatea națională, într-o perioadă anumită de timp </v>
      </c>
      <c r="D48" s="700"/>
      <c r="E48" s="700"/>
      <c r="F48" s="519">
        <f t="shared" si="1"/>
        <v>2586</v>
      </c>
      <c r="G48" s="519">
        <f t="shared" si="0"/>
        <v>2162</v>
      </c>
      <c r="H48" s="701">
        <f t="shared" si="3"/>
        <v>0.83604021655065741</v>
      </c>
      <c r="I48" s="702"/>
      <c r="J48" s="702"/>
      <c r="K48" s="702"/>
      <c r="L48" s="703"/>
      <c r="M48" s="704" t="s">
        <v>499</v>
      </c>
      <c r="N48" s="705"/>
      <c r="O48" s="705"/>
      <c r="P48" s="705"/>
      <c r="Q48" s="705"/>
      <c r="R48" s="705"/>
      <c r="S48" s="245"/>
      <c r="Z48" s="503"/>
      <c r="AA48" s="503"/>
      <c r="AB48" s="503"/>
      <c r="AC48" s="503"/>
      <c r="AD48" s="504"/>
      <c r="AE48" s="504"/>
      <c r="AF48" s="504"/>
      <c r="AH48" s="12"/>
      <c r="AI48" s="12"/>
      <c r="AJ48" s="12"/>
    </row>
    <row r="49" spans="1:36" ht="77.45" customHeight="1">
      <c r="A49" s="505">
        <v>15</v>
      </c>
      <c r="B49" s="273" t="str">
        <f>VLOOKUP(A49,Table1[],2,0)</f>
        <v>Indicator de proces</v>
      </c>
      <c r="C49" s="700" t="str">
        <f>VLOOKUP(A49,Table1[],4,0)</f>
        <v xml:space="preserve">MDR TB-2⁽ᴹ⁾: Numărul cazurilor cu tuberculoză drog-rezistentă (RR-TB și/sau MDR-TB) notificate către autoritatea națională          </v>
      </c>
      <c r="D49" s="700"/>
      <c r="E49" s="700"/>
      <c r="F49" s="519">
        <f t="shared" si="1"/>
        <v>836</v>
      </c>
      <c r="G49" s="519">
        <f t="shared" si="0"/>
        <v>428</v>
      </c>
      <c r="H49" s="701">
        <f t="shared" si="3"/>
        <v>0.51196172248803828</v>
      </c>
      <c r="I49" s="702"/>
      <c r="J49" s="702"/>
      <c r="K49" s="702"/>
      <c r="L49" s="703"/>
      <c r="M49" s="704" t="s">
        <v>500</v>
      </c>
      <c r="N49" s="705"/>
      <c r="O49" s="705"/>
      <c r="P49" s="705"/>
      <c r="Q49" s="705"/>
      <c r="R49" s="705"/>
      <c r="S49" s="245"/>
      <c r="Z49" s="503"/>
      <c r="AA49" s="503"/>
      <c r="AB49" s="503"/>
      <c r="AC49" s="503"/>
      <c r="AD49" s="504"/>
      <c r="AE49" s="504"/>
      <c r="AF49" s="504"/>
      <c r="AH49" s="12"/>
      <c r="AI49" s="12"/>
      <c r="AJ49" s="12"/>
    </row>
    <row r="50" spans="1:36" ht="60" customHeight="1">
      <c r="A50" s="505">
        <v>16</v>
      </c>
      <c r="B50" s="273" t="str">
        <f>VLOOKUP(A50,Table1[],2,0)</f>
        <v>Indicator de proces</v>
      </c>
      <c r="C50" s="700" t="str">
        <f>VLOOKUP(A50,Table1[],4,0)</f>
        <v xml:space="preserve">MDR TB-3⁽ᴹ⁾: Numărul cazurilor cu tuberculoză drog-rezistentă (RR-TB și/sau MDR-TB), confirmate bacteriologic, care au demarat tratamentul DOTS-Plus, în perioada raportată                </v>
      </c>
      <c r="D50" s="700"/>
      <c r="E50" s="700"/>
      <c r="F50" s="519">
        <f t="shared" si="1"/>
        <v>836</v>
      </c>
      <c r="G50" s="519">
        <f t="shared" si="0"/>
        <v>518</v>
      </c>
      <c r="H50" s="701">
        <f t="shared" si="3"/>
        <v>0.61961722488038273</v>
      </c>
      <c r="I50" s="702"/>
      <c r="J50" s="702"/>
      <c r="K50" s="702"/>
      <c r="L50" s="703"/>
      <c r="M50" s="704" t="s">
        <v>501</v>
      </c>
      <c r="N50" s="705"/>
      <c r="O50" s="705"/>
      <c r="P50" s="705"/>
      <c r="Q50" s="705"/>
      <c r="R50" s="705"/>
      <c r="S50" s="245"/>
      <c r="Z50" s="503"/>
      <c r="AA50" s="503"/>
      <c r="AB50" s="503"/>
      <c r="AC50" s="503"/>
      <c r="AD50" s="504"/>
      <c r="AE50" s="504"/>
      <c r="AF50" s="504"/>
      <c r="AH50" s="12"/>
      <c r="AI50" s="12"/>
      <c r="AJ50" s="12"/>
    </row>
    <row r="51" spans="1:36" ht="60" customHeight="1">
      <c r="A51" s="505">
        <v>17</v>
      </c>
      <c r="B51" s="273" t="str">
        <f>VLOOKUP(A51,Table1[],2,0)</f>
        <v>Indicator de proces</v>
      </c>
      <c r="C51" s="700" t="str">
        <f>VLOOKUP(A51,Table1[],4,0)</f>
        <v>TCS-1.1⁽ᴹ⁾: Procentul persoanelor aflate în tratament ARV, din numărul total de PTH, la sfîrșitul perioadei de raportare</v>
      </c>
      <c r="D51" s="700"/>
      <c r="E51" s="700"/>
      <c r="F51" s="516">
        <f t="shared" si="1"/>
        <v>0.69010000000000005</v>
      </c>
      <c r="G51" s="516">
        <f t="shared" si="0"/>
        <v>0.58779999999999999</v>
      </c>
      <c r="H51" s="701">
        <f t="shared" si="3"/>
        <v>0.85176061440370954</v>
      </c>
      <c r="I51" s="702"/>
      <c r="J51" s="702"/>
      <c r="K51" s="702"/>
      <c r="L51" s="703"/>
      <c r="M51" s="706" t="s">
        <v>506</v>
      </c>
      <c r="N51" s="707"/>
      <c r="O51" s="707"/>
      <c r="P51" s="707"/>
      <c r="Q51" s="707"/>
      <c r="R51" s="708"/>
      <c r="S51" s="245"/>
      <c r="Z51" s="503"/>
      <c r="AA51" s="503"/>
      <c r="AB51" s="503"/>
      <c r="AC51" s="503"/>
      <c r="AD51" s="504"/>
      <c r="AE51" s="504"/>
      <c r="AF51" s="504"/>
      <c r="AH51" s="12"/>
      <c r="AI51" s="12"/>
      <c r="AJ51" s="12"/>
    </row>
    <row r="52" spans="1:36" ht="60" customHeight="1">
      <c r="A52" s="505">
        <v>18</v>
      </c>
      <c r="B52" s="273" t="str">
        <f>VLOOKUP(A52,Table1[],2,0)</f>
        <v>Indicator de proces</v>
      </c>
      <c r="C52" s="700" t="str">
        <f>VLOOKUP(A52,Table1[],4,0)</f>
        <v xml:space="preserve">KP-1a⁽ᴹ⁾: Procentul BSB acoperiți de programele de prevenire HIV - pachet definit de servicii </v>
      </c>
      <c r="D52" s="700"/>
      <c r="E52" s="700"/>
      <c r="F52" s="516">
        <f t="shared" si="1"/>
        <v>0.46850000000000003</v>
      </c>
      <c r="G52" s="516">
        <f t="shared" si="0"/>
        <v>0.3866</v>
      </c>
      <c r="H52" s="701">
        <f t="shared" si="3"/>
        <v>0.82518676627534682</v>
      </c>
      <c r="I52" s="702"/>
      <c r="J52" s="702"/>
      <c r="K52" s="702"/>
      <c r="L52" s="703"/>
      <c r="M52" s="704" t="s">
        <v>507</v>
      </c>
      <c r="N52" s="705"/>
      <c r="O52" s="705"/>
      <c r="P52" s="705"/>
      <c r="Q52" s="705"/>
      <c r="R52" s="705"/>
      <c r="S52" s="245"/>
      <c r="Z52" s="503"/>
      <c r="AA52" s="503"/>
      <c r="AH52" s="12"/>
      <c r="AI52" s="12"/>
      <c r="AJ52" s="12"/>
    </row>
    <row r="53" spans="1:36" ht="59.25" customHeight="1">
      <c r="A53" s="505">
        <v>19</v>
      </c>
      <c r="B53" s="273" t="str">
        <f>VLOOKUP(A53,Table1[],2,0)</f>
        <v>Indicator de proces</v>
      </c>
      <c r="C53" s="700" t="str">
        <f>VLOOKUP(A53,Table1[],4,0)</f>
        <v xml:space="preserve">KP-1c⁽ᴹ⁾: Procentul LS acoperiți de programele de prevenire HIV - pachet definit de servicii </v>
      </c>
      <c r="D53" s="700"/>
      <c r="E53" s="700"/>
      <c r="F53" s="516">
        <f t="shared" si="1"/>
        <v>0.67410000000000003</v>
      </c>
      <c r="G53" s="516">
        <f t="shared" si="0"/>
        <v>0.53569999999999995</v>
      </c>
      <c r="H53" s="701">
        <f t="shared" si="3"/>
        <v>0.79468921524996283</v>
      </c>
      <c r="I53" s="702"/>
      <c r="J53" s="702"/>
      <c r="K53" s="702"/>
      <c r="L53" s="703"/>
      <c r="M53" s="704" t="s">
        <v>511</v>
      </c>
      <c r="N53" s="705"/>
      <c r="O53" s="705"/>
      <c r="P53" s="705"/>
      <c r="Q53" s="705"/>
      <c r="R53" s="705"/>
      <c r="S53" s="245"/>
      <c r="Z53" s="503"/>
      <c r="AA53" s="503"/>
      <c r="AH53" s="12"/>
      <c r="AI53" s="12"/>
      <c r="AJ53" s="12"/>
    </row>
    <row r="54" spans="1:36" ht="59.25" customHeight="1">
      <c r="A54" s="505">
        <v>20</v>
      </c>
      <c r="B54" s="273" t="str">
        <f>VLOOKUP(A54,Table1[],2,0)</f>
        <v>Indicator de proces</v>
      </c>
      <c r="C54" s="700" t="str">
        <f>VLOOKUP(A54,Table1[],4,0)</f>
        <v xml:space="preserve">KP-1d⁽ᴹ⁾: Procentul persoanelor consumatoare de droguri injectabile acoperite de programele de prevenire HIV - pachet definit de servicii </v>
      </c>
      <c r="D54" s="700"/>
      <c r="E54" s="700"/>
      <c r="F54" s="516">
        <f t="shared" si="1"/>
        <v>0.84540000000000004</v>
      </c>
      <c r="G54" s="516">
        <f t="shared" si="0"/>
        <v>0.63070000000000004</v>
      </c>
      <c r="H54" s="701">
        <f t="shared" si="3"/>
        <v>0.7460373787556186</v>
      </c>
      <c r="I54" s="702"/>
      <c r="J54" s="702"/>
      <c r="K54" s="702"/>
      <c r="L54" s="703"/>
      <c r="M54" s="704" t="s">
        <v>510</v>
      </c>
      <c r="N54" s="705"/>
      <c r="O54" s="705"/>
      <c r="P54" s="705"/>
      <c r="Q54" s="705"/>
      <c r="R54" s="705"/>
      <c r="S54" s="245"/>
      <c r="Z54" s="503"/>
      <c r="AA54" s="503"/>
      <c r="AH54" s="12"/>
      <c r="AI54" s="12"/>
      <c r="AJ54" s="12"/>
    </row>
    <row r="55" spans="1:36" ht="69.599999999999994" customHeight="1">
      <c r="A55" s="505">
        <v>21</v>
      </c>
      <c r="B55" s="273" t="str">
        <f>VLOOKUP(A55,Table1[],2,0)</f>
        <v>Indicator de proces</v>
      </c>
      <c r="C55" s="700" t="str">
        <f>VLOOKUP(A55,Table1[],4,0)</f>
        <v>HTS-3a⁽ᴹ⁾: Procentul BSB care au fost testați pentru HIV, în perioada de raportare, și își cunosc rezultatele</v>
      </c>
      <c r="D55" s="700"/>
      <c r="E55" s="700"/>
      <c r="F55" s="516">
        <f t="shared" si="1"/>
        <v>0.42699999999999999</v>
      </c>
      <c r="G55" s="516">
        <f t="shared" si="0"/>
        <v>0.24660000000000001</v>
      </c>
      <c r="H55" s="701">
        <f t="shared" si="3"/>
        <v>0.57751756440281032</v>
      </c>
      <c r="I55" s="702"/>
      <c r="J55" s="702"/>
      <c r="K55" s="702"/>
      <c r="L55" s="703"/>
      <c r="M55" s="704" t="s">
        <v>509</v>
      </c>
      <c r="N55" s="705"/>
      <c r="O55" s="705"/>
      <c r="P55" s="705"/>
      <c r="Q55" s="705"/>
      <c r="R55" s="705"/>
      <c r="S55" s="245"/>
      <c r="Z55" s="503"/>
      <c r="AA55" s="503"/>
      <c r="AH55" s="12"/>
      <c r="AI55" s="12"/>
      <c r="AJ55" s="12"/>
    </row>
    <row r="56" spans="1:36" ht="73.150000000000006" customHeight="1">
      <c r="A56" s="505">
        <v>22</v>
      </c>
      <c r="B56" s="273" t="str">
        <f>VLOOKUP(A56,Table1[],2,0)</f>
        <v>Indicator de proces</v>
      </c>
      <c r="C56" s="700" t="str">
        <f>VLOOKUP(A56,Table1[],4,0)</f>
        <v>HTS-3c⁽ᴹ⁾: Procentul LS care au fost testați pentru HIV, în perioada de raportare, și își cunosc rezultatele</v>
      </c>
      <c r="D56" s="700"/>
      <c r="E56" s="700"/>
      <c r="F56" s="516">
        <f t="shared" si="1"/>
        <v>0.60850000000000004</v>
      </c>
      <c r="G56" s="516">
        <f t="shared" si="0"/>
        <v>0.41710000000000003</v>
      </c>
      <c r="H56" s="701">
        <f t="shared" si="3"/>
        <v>0.685456039441249</v>
      </c>
      <c r="I56" s="702"/>
      <c r="J56" s="702"/>
      <c r="K56" s="702"/>
      <c r="L56" s="703"/>
      <c r="M56" s="704" t="s">
        <v>512</v>
      </c>
      <c r="N56" s="705"/>
      <c r="O56" s="705"/>
      <c r="P56" s="705"/>
      <c r="Q56" s="705"/>
      <c r="R56" s="705"/>
      <c r="S56" s="245"/>
      <c r="Z56" s="503"/>
      <c r="AA56" s="503"/>
      <c r="AH56" s="12"/>
      <c r="AI56" s="12"/>
      <c r="AJ56" s="12"/>
    </row>
    <row r="57" spans="1:36" ht="69.599999999999994" customHeight="1">
      <c r="A57" s="505">
        <v>23</v>
      </c>
      <c r="B57" s="273" t="str">
        <f>VLOOKUP(A57,Table1[],2,0)</f>
        <v>Indicator de proces</v>
      </c>
      <c r="C57" s="700" t="str">
        <f>VLOOKUP(A57,Table1[],4,0)</f>
        <v>HTS-3d⁽ᴹ⁾: Procentul PCDI care au fost testate pentru HIV, în perioada de raportare, și își cunosc rezultatele</v>
      </c>
      <c r="D57" s="700"/>
      <c r="E57" s="700"/>
      <c r="F57" s="516">
        <f t="shared" si="1"/>
        <v>0.73380000000000001</v>
      </c>
      <c r="G57" s="516">
        <f t="shared" si="0"/>
        <v>0.38819999999999999</v>
      </c>
      <c r="H57" s="701">
        <f t="shared" si="3"/>
        <v>0.52902698282910876</v>
      </c>
      <c r="I57" s="702"/>
      <c r="J57" s="702"/>
      <c r="K57" s="702"/>
      <c r="L57" s="703"/>
      <c r="M57" s="704" t="s">
        <v>513</v>
      </c>
      <c r="N57" s="705"/>
      <c r="O57" s="705"/>
      <c r="P57" s="705"/>
      <c r="Q57" s="705"/>
      <c r="R57" s="705"/>
      <c r="S57" s="245"/>
      <c r="Z57" s="503"/>
      <c r="AA57" s="503"/>
      <c r="AH57" s="12"/>
      <c r="AI57" s="12"/>
      <c r="AJ57" s="12"/>
    </row>
    <row r="58" spans="1:36" ht="47.45" customHeight="1">
      <c r="A58" s="505">
        <v>24</v>
      </c>
      <c r="B58" s="273" t="str">
        <f>VLOOKUP(A58,Table1[],2,0)</f>
        <v>Indicator de proces</v>
      </c>
      <c r="C58" s="700" t="str">
        <f>VLOOKUP(A58,Table1[],4,0)</f>
        <v>HTS-3f⁽ᴹ⁾: Numărul deținuților care au fost testați pentru HIV, în perioada de raportare, și își cunosc rezultatele</v>
      </c>
      <c r="D58" s="700"/>
      <c r="E58" s="700"/>
      <c r="F58" s="519">
        <f t="shared" si="1"/>
        <v>4619</v>
      </c>
      <c r="G58" s="519">
        <f t="shared" si="0"/>
        <v>4887</v>
      </c>
      <c r="H58" s="701">
        <f t="shared" si="3"/>
        <v>1.0580212167135743</v>
      </c>
      <c r="I58" s="702"/>
      <c r="J58" s="702"/>
      <c r="K58" s="702"/>
      <c r="L58" s="703"/>
      <c r="M58" s="704" t="s">
        <v>514</v>
      </c>
      <c r="N58" s="705"/>
      <c r="O58" s="705"/>
      <c r="P58" s="705"/>
      <c r="Q58" s="705"/>
      <c r="R58" s="705"/>
      <c r="S58" s="507"/>
      <c r="Z58" s="503"/>
      <c r="AA58" s="503"/>
      <c r="AH58" s="12"/>
      <c r="AI58" s="12"/>
      <c r="AJ58" s="12"/>
    </row>
    <row r="59" spans="1:36" ht="51.6" customHeight="1">
      <c r="A59" s="505">
        <v>25</v>
      </c>
      <c r="B59" s="273" t="str">
        <f>VLOOKUP(A59,Table1[],2,0)</f>
        <v>Indicator de proces</v>
      </c>
      <c r="C59" s="700" t="str">
        <f>VLOOKUP(A59,Table1[],4,0)</f>
        <v>KP-6a: Procentul BSB eligibili, care au inițiat tratamentul oral antiretroviral PrEP, în perioada de raportare</v>
      </c>
      <c r="D59" s="700"/>
      <c r="E59" s="700"/>
      <c r="F59" s="516">
        <f>HLOOKUP($R$3,Indicatori,A59*2,0)</f>
        <v>9.4899999999999998E-2</v>
      </c>
      <c r="G59" s="516">
        <f>HLOOKUP($R$3,Indicatori,A59*2+1,0)</f>
        <v>7.1400000000000005E-2</v>
      </c>
      <c r="H59" s="701">
        <f t="shared" si="3"/>
        <v>0.75237091675447842</v>
      </c>
      <c r="I59" s="702"/>
      <c r="J59" s="702"/>
      <c r="K59" s="702"/>
      <c r="L59" s="703"/>
      <c r="M59" s="704" t="s">
        <v>508</v>
      </c>
      <c r="N59" s="705"/>
      <c r="O59" s="705"/>
      <c r="P59" s="705"/>
      <c r="Q59" s="705"/>
      <c r="R59" s="705"/>
      <c r="Z59" s="503"/>
      <c r="AA59" s="503"/>
      <c r="AH59" s="12"/>
      <c r="AI59" s="12"/>
      <c r="AJ59" s="12"/>
    </row>
    <row r="60" spans="1:36">
      <c r="Z60" s="503"/>
      <c r="AA60" s="503"/>
      <c r="AH60" s="12"/>
      <c r="AI60" s="12"/>
      <c r="AJ60" s="12"/>
    </row>
    <row r="61" spans="1:36">
      <c r="Z61" s="503"/>
      <c r="AA61" s="503"/>
    </row>
    <row r="62" spans="1:36">
      <c r="Z62" s="503"/>
      <c r="AA62" s="503"/>
    </row>
    <row r="63" spans="1:36">
      <c r="Z63" s="503"/>
      <c r="AA63" s="503"/>
    </row>
    <row r="64" spans="1:36">
      <c r="Z64" s="503"/>
      <c r="AA64" s="503"/>
    </row>
    <row r="65" spans="26:27">
      <c r="Z65" s="503"/>
      <c r="AA65" s="503"/>
    </row>
  </sheetData>
  <mergeCells count="100">
    <mergeCell ref="C59:E59"/>
    <mergeCell ref="H59:L59"/>
    <mergeCell ref="M59:R59"/>
    <mergeCell ref="D19:F19"/>
    <mergeCell ref="H19:L19"/>
    <mergeCell ref="N19:R19"/>
    <mergeCell ref="N20:R20"/>
    <mergeCell ref="C44:E44"/>
    <mergeCell ref="H44:L44"/>
    <mergeCell ref="M44:R44"/>
    <mergeCell ref="C45:E45"/>
    <mergeCell ref="H45:L45"/>
    <mergeCell ref="M45:R45"/>
    <mergeCell ref="C42:E42"/>
    <mergeCell ref="H42:L42"/>
    <mergeCell ref="M42:R42"/>
    <mergeCell ref="C2:AD2"/>
    <mergeCell ref="D20:F20"/>
    <mergeCell ref="H20:L20"/>
    <mergeCell ref="E5:O5"/>
    <mergeCell ref="G6:L6"/>
    <mergeCell ref="F3:L3"/>
    <mergeCell ref="D4:E4"/>
    <mergeCell ref="C43:E43"/>
    <mergeCell ref="H43:L43"/>
    <mergeCell ref="M43:R43"/>
    <mergeCell ref="C40:E40"/>
    <mergeCell ref="H40:L40"/>
    <mergeCell ref="M40:R40"/>
    <mergeCell ref="C41:E41"/>
    <mergeCell ref="H41:L41"/>
    <mergeCell ref="M41:R41"/>
    <mergeCell ref="C38:E38"/>
    <mergeCell ref="H38:L38"/>
    <mergeCell ref="M38:R38"/>
    <mergeCell ref="C39:E39"/>
    <mergeCell ref="H39:L39"/>
    <mergeCell ref="M39:R39"/>
    <mergeCell ref="C37:E37"/>
    <mergeCell ref="H36:L36"/>
    <mergeCell ref="C36:E36"/>
    <mergeCell ref="N9:R9"/>
    <mergeCell ref="D3:E3"/>
    <mergeCell ref="F4:M4"/>
    <mergeCell ref="O3:Q3"/>
    <mergeCell ref="N8:R8"/>
    <mergeCell ref="H8:L8"/>
    <mergeCell ref="D8:F8"/>
    <mergeCell ref="D9:F9"/>
    <mergeCell ref="H9:L9"/>
    <mergeCell ref="F33:L33"/>
    <mergeCell ref="C34:E34"/>
    <mergeCell ref="C35:E35"/>
    <mergeCell ref="H35:L35"/>
    <mergeCell ref="C46:E46"/>
    <mergeCell ref="C47:E47"/>
    <mergeCell ref="H46:L46"/>
    <mergeCell ref="H47:L47"/>
    <mergeCell ref="H49:L49"/>
    <mergeCell ref="H48:L48"/>
    <mergeCell ref="C48:E48"/>
    <mergeCell ref="C49:E49"/>
    <mergeCell ref="M34:R34"/>
    <mergeCell ref="M49:R49"/>
    <mergeCell ref="H37:L37"/>
    <mergeCell ref="H34:I34"/>
    <mergeCell ref="J34:K34"/>
    <mergeCell ref="M48:R48"/>
    <mergeCell ref="M35:R35"/>
    <mergeCell ref="M36:R36"/>
    <mergeCell ref="M37:R37"/>
    <mergeCell ref="M46:R46"/>
    <mergeCell ref="M47:R47"/>
    <mergeCell ref="H50:L50"/>
    <mergeCell ref="M50:R50"/>
    <mergeCell ref="C51:E51"/>
    <mergeCell ref="H51:L51"/>
    <mergeCell ref="M51:R51"/>
    <mergeCell ref="C50:E50"/>
    <mergeCell ref="C52:E52"/>
    <mergeCell ref="H52:L52"/>
    <mergeCell ref="M52:R52"/>
    <mergeCell ref="C53:E53"/>
    <mergeCell ref="H53:L53"/>
    <mergeCell ref="M53:R53"/>
    <mergeCell ref="C54:E54"/>
    <mergeCell ref="H54:L54"/>
    <mergeCell ref="M54:R54"/>
    <mergeCell ref="C55:E55"/>
    <mergeCell ref="H55:L55"/>
    <mergeCell ref="M55:R55"/>
    <mergeCell ref="C58:E58"/>
    <mergeCell ref="H58:L58"/>
    <mergeCell ref="M58:R58"/>
    <mergeCell ref="C56:E56"/>
    <mergeCell ref="H56:L56"/>
    <mergeCell ref="M56:R56"/>
    <mergeCell ref="C57:E57"/>
    <mergeCell ref="H57:L57"/>
    <mergeCell ref="M57:R57"/>
  </mergeCells>
  <phoneticPr fontId="23" type="noConversion"/>
  <conditionalFormatting sqref="D4:E4">
    <cfRule type="cellIs" dxfId="11" priority="68" stopIfTrue="1" operator="equal">
      <formula>"C"</formula>
    </cfRule>
    <cfRule type="cellIs" dxfId="10" priority="69" stopIfTrue="1" operator="equal">
      <formula>"B2"</formula>
    </cfRule>
    <cfRule type="cellIs" dxfId="9" priority="70" stopIfTrue="1" operator="equal">
      <formula>"B1"</formula>
    </cfRule>
  </conditionalFormatting>
  <conditionalFormatting sqref="H35:H59">
    <cfRule type="cellIs" dxfId="8" priority="1" stopIfTrue="1" operator="between">
      <formula>0.000001</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8" scale="64" fitToHeight="0" orientation="portrait" r:id="rId1"/>
  <headerFooter alignWithMargins="0">
    <oddFooter>&amp;L&amp;F&amp;C&amp;A&amp;RV1.0          &amp;D</oddFooter>
  </headerFooter>
  <rowBreaks count="1" manualBreakCount="1">
    <brk id="4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B1:T39"/>
  <sheetViews>
    <sheetView showGridLines="0" view="pageBreakPreview" topLeftCell="B1" zoomScale="75" zoomScaleNormal="90" zoomScaleSheetLayoutView="75" workbookViewId="0">
      <selection activeCell="D34" sqref="D34:G34"/>
    </sheetView>
  </sheetViews>
  <sheetFormatPr defaultColWidth="9.140625" defaultRowHeight="11.25"/>
  <cols>
    <col min="1" max="1" width="1.140625" style="18" customWidth="1"/>
    <col min="2" max="2" width="19.28515625" style="18" customWidth="1"/>
    <col min="3" max="3" width="1.140625" style="18" customWidth="1"/>
    <col min="4" max="4" width="17.140625" style="18" customWidth="1"/>
    <col min="5" max="5" width="17.5703125" style="18" customWidth="1"/>
    <col min="6" max="6" width="9.7109375" style="18" customWidth="1"/>
    <col min="7" max="7" width="62.28515625" style="18" customWidth="1"/>
    <col min="8" max="8" width="4.28515625" style="18" customWidth="1"/>
    <col min="9" max="9" width="15.85546875" style="18" customWidth="1"/>
    <col min="10" max="10" width="3.5703125" style="18" customWidth="1"/>
    <col min="11" max="11" width="7.5703125" style="19" customWidth="1"/>
    <col min="12" max="12" width="14.28515625" style="18" customWidth="1"/>
    <col min="13" max="13" width="12" style="18" customWidth="1"/>
    <col min="14" max="14" width="5.42578125" style="18" customWidth="1"/>
    <col min="15" max="15" width="2.5703125" style="18" customWidth="1"/>
    <col min="16" max="16384" width="9.140625" style="18"/>
  </cols>
  <sheetData>
    <row r="1" spans="2:15" ht="38.25" customHeight="1"/>
    <row r="2" spans="2:15" customFormat="1" ht="27.75" customHeight="1">
      <c r="B2" s="660" t="str">
        <f>+"Tabel Programatic de evaluare:  "&amp;"  "&amp;IF(+'Introducerea datelor'!C4="Please Select","",'Introducerea datelor'!C4&amp;" - ")&amp;IF('Introducerea datelor'!G6="Please Select","",'Introducerea datelor'!G6)</f>
        <v>Tabel Programatic de evaluare:    Moldova - HIVAIDS / TB</v>
      </c>
      <c r="C2" s="660"/>
      <c r="D2" s="660"/>
      <c r="E2" s="660"/>
      <c r="F2" s="660"/>
      <c r="G2" s="660"/>
      <c r="H2" s="660"/>
      <c r="I2" s="660"/>
      <c r="J2" s="660"/>
      <c r="K2" s="660"/>
      <c r="L2" s="660"/>
      <c r="M2" s="660"/>
      <c r="N2" s="660"/>
      <c r="O2" s="36"/>
    </row>
    <row r="3" spans="2:15" customFormat="1" ht="18.75">
      <c r="B3" s="15" t="str">
        <f>+IF('Introducerea datelor'!G8="Please Select","",'Introducerea datelor'!G8)</f>
        <v/>
      </c>
      <c r="C3" s="665" t="str">
        <f>+IF('Introducerea datelor'!I8="Please Select","",'Introducerea datelor'!I8)</f>
        <v/>
      </c>
      <c r="D3" s="665"/>
      <c r="E3" s="202"/>
      <c r="F3" s="202"/>
      <c r="G3" s="202"/>
      <c r="H3" s="202"/>
      <c r="I3" s="202"/>
      <c r="J3" s="202"/>
      <c r="K3" s="202"/>
      <c r="L3" s="15" t="str">
        <f>+'Introducerea datelor'!B16</f>
        <v>Perioada de Raportare:</v>
      </c>
      <c r="M3" s="99" t="str">
        <f>+'Introducerea datelor'!C16</f>
        <v>P6</v>
      </c>
      <c r="N3" s="99"/>
      <c r="O3" s="18"/>
    </row>
    <row r="4" spans="2:15" customFormat="1" ht="15">
      <c r="B4" s="15" t="str">
        <f>+'Introducerea datelor'!B12</f>
        <v>Ultimul Rating:</v>
      </c>
      <c r="C4" s="730" t="str">
        <f>+IF('Introducerea datelor'!C12="Please Select","",'Introducerea datelor'!C12)</f>
        <v>C</v>
      </c>
      <c r="D4" s="730"/>
      <c r="E4" s="663" t="str">
        <f>+'Introducerea datelor'!C8</f>
        <v>IP UCIMP DS</v>
      </c>
      <c r="F4" s="663"/>
      <c r="G4" s="663"/>
      <c r="H4" s="663"/>
      <c r="I4" s="663"/>
      <c r="J4" s="663"/>
      <c r="K4" s="663"/>
      <c r="L4" s="15" t="str">
        <f>+'Introducerea datelor'!D16</f>
        <v>De la:</v>
      </c>
      <c r="M4" s="100">
        <f>+IF(ISBLANK('Introducerea datelor'!E16),"",'Introducerea datelor'!E16)</f>
        <v>45108</v>
      </c>
      <c r="N4" s="100"/>
      <c r="O4" s="18"/>
    </row>
    <row r="5" spans="2:15" customFormat="1" ht="18.75" customHeight="1">
      <c r="B5" s="15"/>
      <c r="C5" s="15"/>
      <c r="D5" s="84"/>
      <c r="E5" s="663" t="str">
        <f>+'Introducerea datelor'!G4</f>
        <v>Consolidarea controlului tuberculozei și reducerea SIDA și a mortalității aferente în Republica Moldova</v>
      </c>
      <c r="F5" s="663"/>
      <c r="G5" s="663"/>
      <c r="H5" s="663"/>
      <c r="I5" s="663"/>
      <c r="J5" s="663"/>
      <c r="K5" s="663"/>
      <c r="L5" s="15" t="str">
        <f>+'Introducerea datelor'!F16</f>
        <v>Pînă la:</v>
      </c>
      <c r="M5" s="100">
        <f>+IF(ISBLANK('Introducerea datelor'!G16),"",'Introducerea datelor'!G16)</f>
        <v>45291</v>
      </c>
      <c r="N5" s="100"/>
    </row>
    <row r="6" spans="2:15" customFormat="1" ht="22.5" customHeight="1">
      <c r="B6" s="14"/>
      <c r="C6" s="15"/>
      <c r="D6" s="86"/>
      <c r="E6" s="662" t="s">
        <v>377</v>
      </c>
      <c r="F6" s="662"/>
      <c r="G6" s="662"/>
      <c r="H6" s="662"/>
      <c r="I6" s="662"/>
      <c r="J6" s="662"/>
      <c r="K6" s="662"/>
    </row>
    <row r="7" spans="2:15" ht="4.5" customHeight="1">
      <c r="B7" s="89"/>
      <c r="C7" s="89"/>
      <c r="D7" s="89"/>
      <c r="E7" s="89"/>
      <c r="F7" s="89"/>
      <c r="G7" s="89"/>
      <c r="H7" s="89"/>
      <c r="I7" s="89"/>
      <c r="J7" s="89"/>
      <c r="K7" s="89"/>
      <c r="L7" s="90"/>
      <c r="M7" s="90"/>
      <c r="N7" s="91"/>
    </row>
    <row r="8" spans="2:15" ht="21" customHeight="1" thickBot="1">
      <c r="B8" s="756" t="s">
        <v>383</v>
      </c>
      <c r="C8" s="756"/>
      <c r="D8" s="756"/>
      <c r="E8" s="756"/>
      <c r="F8" s="756"/>
      <c r="G8" s="756"/>
      <c r="H8" s="756"/>
      <c r="I8" s="756"/>
      <c r="J8" s="756"/>
      <c r="K8" s="756"/>
      <c r="L8" s="756"/>
      <c r="M8" s="756"/>
      <c r="N8" s="756"/>
    </row>
    <row r="9" spans="2:15" ht="3.75" customHeight="1" thickBot="1">
      <c r="B9" s="89"/>
      <c r="C9" s="89"/>
      <c r="D9" s="89"/>
      <c r="E9" s="89"/>
      <c r="F9" s="89"/>
      <c r="G9" s="89"/>
      <c r="H9" s="89"/>
      <c r="I9" s="89"/>
      <c r="J9" s="89"/>
      <c r="K9" s="89"/>
      <c r="L9" s="90"/>
      <c r="M9" s="90"/>
      <c r="N9" s="91"/>
    </row>
    <row r="10" spans="2:15" s="20" customFormat="1" ht="25.5" customHeight="1" thickBot="1">
      <c r="B10" s="733" t="s">
        <v>378</v>
      </c>
      <c r="C10" s="734"/>
      <c r="D10" s="735" t="s">
        <v>379</v>
      </c>
      <c r="E10" s="736"/>
      <c r="F10" s="736"/>
      <c r="G10" s="737"/>
      <c r="H10" s="92"/>
      <c r="I10" s="735" t="s">
        <v>377</v>
      </c>
      <c r="J10" s="736"/>
      <c r="K10" s="736"/>
      <c r="L10" s="736"/>
      <c r="M10" s="736"/>
      <c r="N10" s="737"/>
    </row>
    <row r="11" spans="2:15" s="20" customFormat="1" ht="51" customHeight="1">
      <c r="B11" s="212" t="s">
        <v>54</v>
      </c>
      <c r="C11" s="213"/>
      <c r="D11" s="746" t="str">
        <f>IF(ISBLANK(Financiar!C9),"",(Financiar!C9))</f>
        <v>Debursările din partea Fondului Global au fost efectuate în conformitate cu Planul de debursări al donatorului, luând în considerație cheltuielile efectuate de RP, soldurile în cont și angajamentele și obligațiunile acestuia. Cumulativ, 89% din totalul grantului au fost debursate de donatorul FG către RP sau prin intermediul plăților directe.</v>
      </c>
      <c r="E11" s="746"/>
      <c r="F11" s="746"/>
      <c r="G11" s="747"/>
      <c r="H11" s="247"/>
      <c r="I11" s="738"/>
      <c r="J11" s="739"/>
      <c r="K11" s="739"/>
      <c r="L11" s="739"/>
      <c r="M11" s="739"/>
      <c r="N11" s="740"/>
    </row>
    <row r="12" spans="2:15" s="20" customFormat="1" ht="129.6" customHeight="1">
      <c r="B12" s="216" t="s">
        <v>55</v>
      </c>
      <c r="C12" s="217"/>
      <c r="D12" s="741" t="str">
        <f>IF(ISBLANK(Financiar!C23),"",(Financiar!C23))</f>
        <v xml:space="preserve">Variațiile majore se explică prin următoarele: 
1. Intervenția: Detectarea si diagnosticarea cazurilor (MDR-TB)
a. Procurare de consumabile/ reagenți pentru TS la medicamente și de cartușe GeneXpert (402.54 mii EUR);
b. Procurare de echipament X-ray digital pentru Spitalul TB Bender (267.85 mii EUR).
2. Intervenția: Populații cheie (MDR-TB)
	a. Activități în populațiile cheie (MDR-TB): screening GRSI cu utilizarea IA (377.91 mii EUR).
3. Intervenția: Tratament (MDR-TB)
	a. Procurare de medicamente pentru tratamentul TB-MDR și activități focusate pe administrarea mSTR (763.20 mii EUR);
	b. Suport motivațional pentru asigurarea aderenței la tratament, Transnistria (110.19 mii EUR).
</v>
      </c>
      <c r="E12" s="741"/>
      <c r="F12" s="741"/>
      <c r="G12" s="742"/>
      <c r="H12" s="247"/>
      <c r="I12" s="738"/>
      <c r="J12" s="739"/>
      <c r="K12" s="739"/>
      <c r="L12" s="739"/>
      <c r="M12" s="739"/>
      <c r="N12" s="740"/>
    </row>
    <row r="13" spans="2:15" s="20" customFormat="1" ht="53.45" customHeight="1">
      <c r="B13" s="216" t="s">
        <v>56</v>
      </c>
      <c r="C13" s="217"/>
      <c r="D13" s="741" t="str">
        <f>IF(ISBLANK(Financiar!I9),"",(Financiar!I9))</f>
        <v xml:space="preserve">Către 31 decembrie 2023, în cadrul realizării Grantului, au fost valorificați 21 732 005.01 EURO, față de 23 492 633.59 EURO bugetați pentru perioada 01 ianuarie 2021 – 31 decembrie 2023, ceea ce constituie 93%. </v>
      </c>
      <c r="E13" s="741"/>
      <c r="F13" s="741"/>
      <c r="G13" s="742"/>
      <c r="H13" s="247"/>
      <c r="I13" s="738"/>
      <c r="J13" s="739"/>
      <c r="K13" s="739"/>
      <c r="L13" s="739"/>
      <c r="M13" s="739"/>
      <c r="N13" s="740"/>
    </row>
    <row r="14" spans="2:15" s="20" customFormat="1" ht="46.9" customHeight="1" thickBot="1">
      <c r="B14" s="214" t="s">
        <v>57</v>
      </c>
      <c r="C14" s="215"/>
      <c r="D14" s="748" t="str">
        <f>IF(ISBLANK(Financiar!I23),"",(Financiar!I23))</f>
        <v>Raportul de progres anual PU/DR, pentru anul 2022, a fost remis la timp de către RP. Toate debursările către IP UCIMP DS din partea Fondului Global, precum și cele din partea RP către Centrul PAS (SR), au fost efectuate în termenii prestabiliți, conform acordurilor de finanțare.</v>
      </c>
      <c r="E14" s="748"/>
      <c r="F14" s="748"/>
      <c r="G14" s="749"/>
      <c r="H14" s="247"/>
      <c r="I14" s="757"/>
      <c r="J14" s="758"/>
      <c r="K14" s="758"/>
      <c r="L14" s="758"/>
      <c r="M14" s="758"/>
      <c r="N14" s="759"/>
    </row>
    <row r="15" spans="2:15" s="20" customFormat="1" ht="4.5" customHeight="1">
      <c r="B15" s="96"/>
      <c r="C15" s="97"/>
      <c r="D15" s="248"/>
      <c r="E15" s="248"/>
      <c r="F15" s="248"/>
      <c r="G15" s="248"/>
      <c r="H15" s="247"/>
      <c r="I15" s="249"/>
      <c r="J15" s="249"/>
      <c r="K15" s="249"/>
      <c r="L15" s="249"/>
      <c r="M15" s="249"/>
      <c r="N15" s="249"/>
    </row>
    <row r="16" spans="2:15" ht="21" customHeight="1" thickBot="1">
      <c r="B16" s="756" t="s">
        <v>382</v>
      </c>
      <c r="C16" s="756"/>
      <c r="D16" s="756"/>
      <c r="E16" s="756"/>
      <c r="F16" s="756"/>
      <c r="G16" s="756"/>
      <c r="H16" s="756"/>
      <c r="I16" s="756"/>
      <c r="J16" s="756"/>
      <c r="K16" s="756"/>
      <c r="L16" s="756"/>
      <c r="M16" s="756"/>
      <c r="N16" s="756"/>
    </row>
    <row r="17" spans="2:20" s="20" customFormat="1" ht="3.75" customHeight="1" thickBot="1">
      <c r="B17" s="250"/>
      <c r="C17" s="94"/>
      <c r="D17" s="251"/>
      <c r="E17" s="252"/>
      <c r="F17" s="253"/>
      <c r="G17" s="253"/>
      <c r="H17" s="254"/>
      <c r="I17" s="95"/>
      <c r="J17" s="255"/>
      <c r="K17" s="256"/>
      <c r="L17" s="257"/>
      <c r="M17" s="93"/>
      <c r="N17" s="258"/>
    </row>
    <row r="18" spans="2:20" s="20" customFormat="1" ht="22.5" customHeight="1" thickBot="1">
      <c r="B18" s="731" t="s">
        <v>53</v>
      </c>
      <c r="C18" s="732"/>
      <c r="D18" s="750" t="s">
        <v>379</v>
      </c>
      <c r="E18" s="751"/>
      <c r="F18" s="751"/>
      <c r="G18" s="752"/>
      <c r="H18" s="259"/>
      <c r="I18" s="743" t="s">
        <v>377</v>
      </c>
      <c r="J18" s="744"/>
      <c r="K18" s="744"/>
      <c r="L18" s="744"/>
      <c r="M18" s="745"/>
      <c r="N18" s="745"/>
    </row>
    <row r="19" spans="2:20" s="20" customFormat="1" ht="37.5" customHeight="1">
      <c r="B19" s="218" t="s">
        <v>62</v>
      </c>
      <c r="C19" s="219"/>
      <c r="D19" s="763" t="str">
        <f>IF(ISBLANK(Management!C8),"",(Management!C8))</f>
        <v>N/A</v>
      </c>
      <c r="E19" s="763"/>
      <c r="F19" s="763"/>
      <c r="G19" s="764"/>
      <c r="H19" s="247"/>
      <c r="I19" s="769"/>
      <c r="J19" s="770"/>
      <c r="K19" s="770"/>
      <c r="L19" s="770"/>
      <c r="M19" s="770"/>
      <c r="N19" s="771"/>
    </row>
    <row r="20" spans="2:20" ht="37.9" customHeight="1">
      <c r="B20" s="222" t="s">
        <v>63</v>
      </c>
      <c r="C20" s="223"/>
      <c r="D20" s="741" t="str">
        <f>IF(ISBLANK(Management!I8),"",(Management!I8))</f>
        <v>În cadrul echipei care gestionează Grantul MDA-C_PCIMU, începând cu luna octombrie 2023, postul de Asistent de proiect HIV a fost vacant.</v>
      </c>
      <c r="E20" s="741" t="e">
        <f>+'Introducerea datelor'!D79/'Introducerea datelor'!G79</f>
        <v>#DIV/0!</v>
      </c>
      <c r="F20" s="741" t="e">
        <f>+('Introducerea datelor'!E79+'Introducerea datelor'!F79)/'Introducerea datelor'!G79</f>
        <v>#DIV/0!</v>
      </c>
      <c r="G20" s="765"/>
      <c r="H20" s="247"/>
      <c r="I20" s="760"/>
      <c r="J20" s="761"/>
      <c r="K20" s="761"/>
      <c r="L20" s="761"/>
      <c r="M20" s="761"/>
      <c r="N20" s="762"/>
    </row>
    <row r="21" spans="2:20" ht="68.45" customHeight="1">
      <c r="B21" s="224" t="s">
        <v>64</v>
      </c>
      <c r="C21" s="223"/>
      <c r="D21" s="741" t="str">
        <f>IF(ISBLANK(Management!C16),"",(Management!C16))</f>
        <v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v>
      </c>
      <c r="E21" s="741"/>
      <c r="F21" s="741"/>
      <c r="G21" s="765"/>
      <c r="H21" s="247"/>
      <c r="I21" s="760"/>
      <c r="J21" s="761"/>
      <c r="K21" s="761"/>
      <c r="L21" s="761"/>
      <c r="M21" s="761"/>
      <c r="N21" s="762"/>
    </row>
    <row r="22" spans="2:20" ht="46.5" customHeight="1">
      <c r="B22" s="224" t="s">
        <v>65</v>
      </c>
      <c r="C22" s="223"/>
      <c r="D22" s="741" t="str">
        <f>IF(ISBLANK(Management!I16),"",(Management!I16))</f>
        <v>În conformitate cu condițiile contractuale, în perioada sem.II.2023, au fost recepționate rapoartele de progres trimestriale ale SR-ului (Centrul PAS), pentru perioada Q2 2023 - în luna iulie 2023 și pentru perioada Q3 2023 - în luna octombrie 2023.</v>
      </c>
      <c r="E22" s="741"/>
      <c r="F22" s="741"/>
      <c r="G22" s="765"/>
      <c r="H22" s="247"/>
      <c r="I22" s="760"/>
      <c r="J22" s="761"/>
      <c r="K22" s="761"/>
      <c r="L22" s="761"/>
      <c r="M22" s="761"/>
      <c r="N22" s="762"/>
    </row>
    <row r="23" spans="2:20" ht="43.5" customHeight="1">
      <c r="B23" s="224" t="s">
        <v>66</v>
      </c>
      <c r="C23" s="223"/>
      <c r="D23" s="741" t="str">
        <f>IF(ISBLANK(Management!C27),"",(Management!C27))</f>
        <v>Pe parcursul sem.II.2023, a fost finisată livrarea de consumabile și reagenți, precum și de medicamente antituberculoase, destinate tratementului pacienților cu MDR-TB, în conformitate cu prevederile contractelor semnate de IP UCIMP DS.</v>
      </c>
      <c r="E23" s="741"/>
      <c r="F23" s="741"/>
      <c r="G23" s="765"/>
      <c r="H23" s="247"/>
      <c r="I23" s="760"/>
      <c r="J23" s="761"/>
      <c r="K23" s="761"/>
      <c r="L23" s="761"/>
      <c r="M23" s="761"/>
      <c r="N23" s="762"/>
    </row>
    <row r="24" spans="2:20" ht="100.9" customHeight="1" thickBot="1">
      <c r="B24" s="220" t="s">
        <v>67</v>
      </c>
      <c r="C24" s="221"/>
      <c r="D24" s="754" t="str">
        <f>IF(ISBLANK(Management!I27),"",(Management!I27))</f>
        <v xml:space="preserve">(i) La data de 31 decembrie 2023, analiza stocului de medicamente antituberculoase de linia I și II, pentru tratamentul tuberculozei drogrezistente, și a numărului de pacienți aflați în tratament la aceeași dată, arată prezența unui stock între 4 și 6 luni, pentru preparatele TB de bază.  (ii) Achiziția medicamentelor pentru tratamentul infecției  tuberculoase, întru asigurarea medicației a 6 875 beneficiari incluși în tratament preventiv, în perioada mai 2023 – martie 2024 (contract 160/GD/T cu Fundația IDA din 02.12.2022, în valoare totală de 93 430.83 USD), a fost finalizată (livrare integrală, în luna noiembrie 2023). </v>
      </c>
      <c r="E24" s="754"/>
      <c r="F24" s="754"/>
      <c r="G24" s="755"/>
      <c r="H24" s="247"/>
      <c r="I24" s="772"/>
      <c r="J24" s="773"/>
      <c r="K24" s="773"/>
      <c r="L24" s="773"/>
      <c r="M24" s="773"/>
      <c r="N24" s="774"/>
      <c r="T24" s="238"/>
    </row>
    <row r="25" spans="2:20" ht="4.5" customHeight="1">
      <c r="B25" s="260"/>
      <c r="C25" s="261"/>
      <c r="D25" s="262"/>
      <c r="E25" s="263"/>
      <c r="F25" s="264"/>
      <c r="G25" s="264"/>
      <c r="H25" s="259"/>
      <c r="I25" s="263"/>
      <c r="J25" s="265"/>
      <c r="K25" s="256"/>
      <c r="L25" s="257"/>
      <c r="M25" s="93"/>
      <c r="N25" s="258"/>
    </row>
    <row r="26" spans="2:20" ht="21" customHeight="1" thickBot="1">
      <c r="B26" s="756" t="s">
        <v>381</v>
      </c>
      <c r="C26" s="756"/>
      <c r="D26" s="756"/>
      <c r="E26" s="756"/>
      <c r="F26" s="756"/>
      <c r="G26" s="756"/>
      <c r="H26" s="756"/>
      <c r="I26" s="756"/>
      <c r="J26" s="756"/>
      <c r="K26" s="756"/>
      <c r="L26" s="756"/>
      <c r="M26" s="756"/>
      <c r="N26" s="756"/>
      <c r="R26" s="238"/>
    </row>
    <row r="27" spans="2:20" ht="3.75" customHeight="1" thickBot="1">
      <c r="B27" s="260"/>
      <c r="C27" s="261"/>
      <c r="D27" s="262"/>
      <c r="E27" s="263"/>
      <c r="F27" s="264"/>
      <c r="G27" s="264"/>
      <c r="H27" s="259"/>
      <c r="I27" s="263"/>
      <c r="J27" s="265"/>
      <c r="K27" s="256"/>
      <c r="L27" s="257"/>
      <c r="M27" s="93"/>
      <c r="N27" s="258"/>
    </row>
    <row r="28" spans="2:20" ht="21.75" customHeight="1" thickBot="1">
      <c r="B28" s="753" t="s">
        <v>380</v>
      </c>
      <c r="C28" s="732"/>
      <c r="D28" s="766" t="s">
        <v>379</v>
      </c>
      <c r="E28" s="767"/>
      <c r="F28" s="767"/>
      <c r="G28" s="768"/>
      <c r="H28" s="259"/>
      <c r="I28" s="766" t="s">
        <v>377</v>
      </c>
      <c r="J28" s="767"/>
      <c r="K28" s="767"/>
      <c r="L28" s="767"/>
      <c r="M28" s="767"/>
      <c r="N28" s="768"/>
    </row>
    <row r="29" spans="2:20" ht="86.25" hidden="1" customHeight="1">
      <c r="B29" s="266" t="s">
        <v>239</v>
      </c>
      <c r="C29" s="267"/>
      <c r="D29" s="785" t="str">
        <f>IF(ISBLANK(Programatic!D9),"",(Programatic!D9))</f>
        <v xml:space="preserve">Date preliminare pentru a. 2023. 141 persoane au decedat de tuberculoză, în anul 2023 - 4,7 decese cauzate de TB (toate formele), la persoanele HIV-negative, la 100,000 populație).                                                                                                
</v>
      </c>
      <c r="E29" s="786"/>
      <c r="F29" s="786"/>
      <c r="G29" s="787"/>
      <c r="H29" s="247"/>
      <c r="I29" s="779"/>
      <c r="J29" s="780"/>
      <c r="K29" s="780"/>
      <c r="L29" s="780"/>
      <c r="M29" s="780"/>
      <c r="N29" s="781"/>
    </row>
    <row r="30" spans="2:20" ht="87" hidden="1" customHeight="1">
      <c r="B30" s="268" t="s">
        <v>240</v>
      </c>
      <c r="C30" s="269"/>
      <c r="D30" s="778" t="str">
        <f>IF(ISBLANK(Programatic!H9),"",(Programatic!H9))</f>
        <v xml:space="preserve">Date preliminare pentru a. 2023. 253 cazuri noi de tuberculoză cu testul pozitiv la cultură, examinate la sensibilitate pentru preparatele de linia I, din 1 026 cazuri investigate în anul 2023, au fost diagnosticate cu MDR.          </v>
      </c>
      <c r="E30" s="776"/>
      <c r="F30" s="776"/>
      <c r="G30" s="777"/>
      <c r="H30" s="247"/>
      <c r="I30" s="782"/>
      <c r="J30" s="783"/>
      <c r="K30" s="783"/>
      <c r="L30" s="783"/>
      <c r="M30" s="783"/>
      <c r="N30" s="784"/>
    </row>
    <row r="31" spans="2:20" ht="75" hidden="1" customHeight="1">
      <c r="B31" s="268" t="s">
        <v>241</v>
      </c>
      <c r="C31" s="269"/>
      <c r="D31" s="778" t="str">
        <f>IF(ISBLANK(Programatic!N9),"",(Programatic!N9))</f>
        <v>Date finale pentru a. 2023 vor fi disponibile după 31 martie 2024.                                                     Notă - Sursa pentru numitor: estimările SPECTRUM 2024 pentru a. 2023.</v>
      </c>
      <c r="E31" s="776"/>
      <c r="F31" s="776"/>
      <c r="G31" s="777"/>
      <c r="H31" s="247"/>
      <c r="I31" s="782"/>
      <c r="J31" s="783"/>
      <c r="K31" s="783"/>
      <c r="L31" s="783"/>
      <c r="M31" s="783"/>
      <c r="N31" s="784"/>
    </row>
    <row r="32" spans="2:20" ht="55.15" customHeight="1">
      <c r="B32" s="270" t="s">
        <v>58</v>
      </c>
      <c r="C32" s="269"/>
      <c r="D32" s="775" t="str">
        <f>IF(ISBLANK(Programatic!M35),"",(Programatic!M35))</f>
        <v xml:space="preserve">Date preliminare pentru a. 2023. 141 persoane au decedat de tuberculoză, în anul 2023 - 4,7 decese cauzate de TB (toate formele), la persoanele HIV-negative, la 100,000 populație).  </v>
      </c>
      <c r="E32" s="776"/>
      <c r="F32" s="776"/>
      <c r="G32" s="777"/>
      <c r="H32" s="247"/>
      <c r="I32" s="782"/>
      <c r="J32" s="783"/>
      <c r="K32" s="783"/>
      <c r="L32" s="783"/>
      <c r="M32" s="783"/>
      <c r="N32" s="784"/>
    </row>
    <row r="33" spans="2:14" ht="46.15" customHeight="1">
      <c r="B33" s="270" t="s">
        <v>59</v>
      </c>
      <c r="C33" s="269"/>
      <c r="D33" s="775" t="str">
        <f>IF(ISBLANK(Programatic!M36),"",(Programatic!M36))</f>
        <v xml:space="preserve">Date preliminare pentru a. 2023. 253 cazuri noi de tuberculoză cu testul pozitiv la cultură, examinate la sensibilitate pentru preparatele de linia I, din 1 026 cazuri investigate în anul 2023, au fost diagnosticate cu RR-TB și/sau MDR-TB.         </v>
      </c>
      <c r="E33" s="776"/>
      <c r="F33" s="776"/>
      <c r="G33" s="777"/>
      <c r="H33" s="247"/>
      <c r="I33" s="782"/>
      <c r="J33" s="783"/>
      <c r="K33" s="783"/>
      <c r="L33" s="783"/>
      <c r="M33" s="783"/>
      <c r="N33" s="784"/>
    </row>
    <row r="34" spans="2:14" ht="38.450000000000003" customHeight="1">
      <c r="B34" s="270" t="s">
        <v>60</v>
      </c>
      <c r="C34" s="269"/>
      <c r="D34" s="775" t="str">
        <f>IF(ISBLANK(Programatic!M37),"",(Programatic!M37))</f>
        <v>Datele finale pentru a. 2023 vor fi disponibile după 31 martie 2024.                                                                        Notă - Sursa pentru numitor: estimările SPECTRUM 2024 pentru a. 2023.</v>
      </c>
      <c r="E34" s="776"/>
      <c r="F34" s="776"/>
      <c r="G34" s="777"/>
      <c r="H34" s="247"/>
      <c r="I34" s="782"/>
      <c r="J34" s="783"/>
      <c r="K34" s="783"/>
      <c r="L34" s="783"/>
      <c r="M34" s="783"/>
      <c r="N34" s="784"/>
    </row>
    <row r="35" spans="2:14" ht="55.9" customHeight="1">
      <c r="B35" s="270" t="s">
        <v>61</v>
      </c>
      <c r="C35" s="271"/>
      <c r="D35" s="775" t="str">
        <f>IF(ISBLANK(Programatic!M46),"",(Programatic!M46))</f>
        <v>Datele finale pentru 2023 vor fi disponibile după 31 martie 2024.                                                                                Notă - Sursa pentru numitor: estimările SPECTRUM 2024 pentru a. 2023.</v>
      </c>
      <c r="E35" s="776"/>
      <c r="F35" s="776"/>
      <c r="G35" s="777"/>
      <c r="H35" s="247"/>
      <c r="I35" s="782"/>
      <c r="J35" s="783"/>
      <c r="K35" s="783"/>
      <c r="L35" s="783"/>
      <c r="M35" s="783"/>
      <c r="N35" s="784"/>
    </row>
    <row r="36" spans="2:14" ht="59.45" customHeight="1">
      <c r="B36" s="270" t="s">
        <v>68</v>
      </c>
      <c r="C36" s="271"/>
      <c r="D36" s="775" t="str">
        <f>IF(ISBLANK(Programatic!M47),"",(Programatic!M47))</f>
        <v xml:space="preserve">Date finale pentru a. 2023. 6,592 PTH au prezentat supresie virală (&lt;1000 copii/mL), din 7,449 PTH aflate în tratament ARV cel puțin 6 luni și cu cel puțin un rezultat la testul de detectare a încărcăturii virale HIV, în registrul pacienților TARV, în anul 2023.    </v>
      </c>
      <c r="E36" s="776"/>
      <c r="F36" s="776"/>
      <c r="G36" s="777"/>
      <c r="H36" s="247"/>
      <c r="I36" s="782"/>
      <c r="J36" s="783"/>
      <c r="K36" s="783"/>
      <c r="L36" s="783"/>
      <c r="M36" s="783"/>
      <c r="N36" s="784"/>
    </row>
    <row r="37" spans="2:14" ht="46.9" customHeight="1">
      <c r="B37" s="270" t="s">
        <v>69</v>
      </c>
      <c r="C37" s="271"/>
      <c r="D37" s="775" t="str">
        <f>IF(ISBLANK(Programatic!M48),"",(Programatic!M48))</f>
        <v xml:space="preserve">Date finale pentru a. 2023. 2,162 cazuri de tuberculoză, toate formele (bacteriologic confirmate și diagnosticate clinic, cazuri noi și recidive) au fost notificate către autoritatea națională, în anul 2023.                                                                                                                                                            </v>
      </c>
      <c r="E37" s="776"/>
      <c r="F37" s="776"/>
      <c r="G37" s="777"/>
      <c r="H37" s="247"/>
      <c r="I37" s="782"/>
      <c r="J37" s="783"/>
      <c r="K37" s="783"/>
      <c r="L37" s="783"/>
      <c r="M37" s="783"/>
      <c r="N37" s="784"/>
    </row>
    <row r="38" spans="2:14" ht="71.45" customHeight="1">
      <c r="B38" s="270" t="s">
        <v>70</v>
      </c>
      <c r="C38" s="271"/>
      <c r="D38" s="775" t="str">
        <f>IF(ISBLANK(Programatic!M49),"",(Programatic!M49))</f>
        <v xml:space="preserve">Date finale pentru a. 2023. 428 cazuri cu tuberculoză drog-rezistentă (RR-TB și/sau MDR-TB), confirmate bacteriologic, au fost notificate, în anul 2023, față de 836 cazuri estimate pentru perioada raportată.                                               
Notă - Reducerea numărului de pacienți MDR TB notificați este în directă corespundere cu scăderea incidenței TB.                                                                                                   
</v>
      </c>
      <c r="E38" s="776"/>
      <c r="F38" s="776"/>
      <c r="G38" s="777"/>
      <c r="H38" s="247"/>
      <c r="I38" s="782"/>
      <c r="J38" s="783"/>
      <c r="K38" s="783"/>
      <c r="L38" s="783"/>
      <c r="M38" s="783"/>
      <c r="N38" s="784"/>
    </row>
    <row r="39" spans="2:14" ht="178.5" customHeight="1"/>
  </sheetData>
  <mergeCells count="58">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 ref="D32:G32"/>
    <mergeCell ref="D30:G30"/>
    <mergeCell ref="D31:G31"/>
    <mergeCell ref="D33:G33"/>
    <mergeCell ref="D20:G20"/>
    <mergeCell ref="D19:G19"/>
    <mergeCell ref="D21:G21"/>
    <mergeCell ref="D22:G22"/>
    <mergeCell ref="I28:N28"/>
    <mergeCell ref="I19:N19"/>
    <mergeCell ref="I24:N24"/>
    <mergeCell ref="I20:N20"/>
    <mergeCell ref="D23:G23"/>
    <mergeCell ref="D28:G2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B18:C18"/>
    <mergeCell ref="B10:C10"/>
    <mergeCell ref="D10:G10"/>
    <mergeCell ref="I12:N12"/>
    <mergeCell ref="D12:G12"/>
    <mergeCell ref="I11:N11"/>
    <mergeCell ref="I18:N18"/>
    <mergeCell ref="D11:G11"/>
    <mergeCell ref="D13:G13"/>
    <mergeCell ref="I13:N13"/>
    <mergeCell ref="D14:G14"/>
    <mergeCell ref="D18:G18"/>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68" fitToHeight="0"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zoomScaleNormal="100" zoomScaleSheetLayoutView="100" workbookViewId="0">
      <selection activeCell="O43" sqref="O4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660" t="str">
        <f>+"Tabel Programatic de Evaluare:  "&amp;"  "&amp;IF(+'Introducerea datelor'!C4="Please Select","",'Introducerea datelor'!C4&amp;" - ")&amp;IF('Introducerea datelor'!G6="Please Select","",'Introducerea datelor'!G6)</f>
        <v>Tabel Programatic de Evaluare:    Moldova - HIVAIDS / TB</v>
      </c>
      <c r="C2" s="660"/>
      <c r="D2" s="660"/>
      <c r="E2" s="660"/>
      <c r="F2" s="660"/>
      <c r="G2" s="660"/>
      <c r="H2" s="660"/>
      <c r="I2" s="660"/>
      <c r="J2" s="660"/>
      <c r="K2" s="660"/>
      <c r="L2" s="660"/>
    </row>
    <row r="3" spans="1:13">
      <c r="B3" s="15" t="str">
        <f>+IF('Introducerea datelor'!G8="Please Select","",'Introducerea datelor'!G8)</f>
        <v/>
      </c>
      <c r="C3" s="665" t="str">
        <f>+IF('Introducerea datelor'!I8="Please Select","",'Introducerea datelor'!I8)</f>
        <v/>
      </c>
      <c r="D3" s="665"/>
      <c r="E3" s="663"/>
      <c r="F3" s="663"/>
      <c r="G3" s="663"/>
      <c r="H3" s="663"/>
      <c r="I3" s="663"/>
      <c r="J3" s="664" t="str">
        <f>+'Introducerea datelor'!B16</f>
        <v>Perioada de Raportare:</v>
      </c>
      <c r="K3" s="664"/>
      <c r="L3" s="99" t="str">
        <f>+'Introducerea datelor'!C16</f>
        <v>P6</v>
      </c>
      <c r="M3" s="42"/>
    </row>
    <row r="4" spans="1:13">
      <c r="B4" s="15" t="str">
        <f>+'Introducerea datelor'!B12</f>
        <v>Ultimul Rating:</v>
      </c>
      <c r="C4" s="831" t="str">
        <f>+IF('Introducerea datelor'!C12="Please Select","",'Introducerea datelor'!C12)</f>
        <v>C</v>
      </c>
      <c r="D4" s="831"/>
      <c r="E4" s="663" t="str">
        <f>+'Introducerea datelor'!C8</f>
        <v>IP UCIMP DS</v>
      </c>
      <c r="F4" s="663"/>
      <c r="G4" s="663"/>
      <c r="H4" s="663"/>
      <c r="I4" s="663"/>
      <c r="J4" s="664" t="str">
        <f>+'Introducerea datelor'!D16</f>
        <v>De la:</v>
      </c>
      <c r="K4" s="666"/>
      <c r="L4" s="100">
        <f>+IF(ISBLANK('Introducerea datelor'!E16),"",'Introducerea datelor'!E16)</f>
        <v>45108</v>
      </c>
    </row>
    <row r="5" spans="1:13" ht="18.75" customHeight="1">
      <c r="B5" s="15"/>
      <c r="C5" s="15"/>
      <c r="D5" s="663" t="str">
        <f>+'Introducerea datelor'!G4</f>
        <v>Consolidarea controlului tuberculozei și reducerea SIDA și a mortalității aferente în Republica Moldova</v>
      </c>
      <c r="E5" s="663"/>
      <c r="F5" s="663"/>
      <c r="G5" s="663"/>
      <c r="H5" s="663"/>
      <c r="I5" s="663"/>
      <c r="J5" s="663"/>
      <c r="K5" s="15" t="str">
        <f>+'Introducerea datelor'!F16</f>
        <v>Pînă la:</v>
      </c>
      <c r="L5" s="100">
        <f>+IF(ISBLANK('Introducerea datelor'!G16),"",'Introducerea datelor'!G16)</f>
        <v>45291</v>
      </c>
    </row>
    <row r="6" spans="1:13" ht="18.75">
      <c r="B6" s="14"/>
      <c r="C6" s="15"/>
      <c r="D6" s="16"/>
      <c r="E6" s="662" t="s">
        <v>384</v>
      </c>
      <c r="F6" s="662"/>
      <c r="G6" s="662"/>
      <c r="H6" s="662"/>
      <c r="I6" s="662"/>
    </row>
    <row r="7" spans="1:13" ht="18.75">
      <c r="E7" s="35"/>
      <c r="F7" s="35"/>
      <c r="G7" s="35"/>
      <c r="H7" s="35"/>
      <c r="I7" s="35"/>
    </row>
    <row r="8" spans="1:13" s="18" customFormat="1" ht="21" customHeight="1" thickBot="1">
      <c r="B8" s="38" t="s">
        <v>385</v>
      </c>
      <c r="C8" s="38"/>
      <c r="D8" s="38"/>
      <c r="E8" s="38"/>
      <c r="F8" s="38"/>
      <c r="G8" s="38"/>
      <c r="H8" s="38"/>
      <c r="I8" s="38"/>
      <c r="J8" s="38"/>
      <c r="K8" s="38"/>
      <c r="L8" s="38"/>
    </row>
    <row r="9" spans="1:13" ht="6" customHeight="1">
      <c r="B9" s="37"/>
    </row>
    <row r="10" spans="1:13" ht="18" customHeight="1">
      <c r="B10" s="835"/>
      <c r="C10" s="836"/>
      <c r="D10" s="836"/>
      <c r="E10" s="836"/>
      <c r="F10" s="836"/>
      <c r="G10" s="836"/>
      <c r="H10" s="836"/>
      <c r="I10" s="836"/>
      <c r="J10" s="836"/>
      <c r="K10" s="836"/>
      <c r="L10" s="837"/>
    </row>
    <row r="11" spans="1:13" ht="18" customHeight="1">
      <c r="B11" s="838"/>
      <c r="C11" s="839"/>
      <c r="D11" s="839"/>
      <c r="E11" s="839"/>
      <c r="F11" s="839"/>
      <c r="G11" s="839"/>
      <c r="H11" s="839"/>
      <c r="I11" s="839"/>
      <c r="J11" s="839"/>
      <c r="K11" s="839"/>
      <c r="L11" s="840"/>
    </row>
    <row r="12" spans="1:13" ht="15.75" thickBot="1"/>
    <row r="13" spans="1:13" ht="26.25" customHeight="1" thickBot="1">
      <c r="B13" s="832" t="s">
        <v>404</v>
      </c>
      <c r="C13" s="833"/>
      <c r="D13" s="833"/>
      <c r="E13" s="834"/>
      <c r="F13" s="39"/>
      <c r="G13" s="841" t="s">
        <v>386</v>
      </c>
      <c r="H13" s="814"/>
      <c r="I13" s="814"/>
      <c r="J13" s="40" t="s">
        <v>387</v>
      </c>
      <c r="K13" s="814" t="s">
        <v>388</v>
      </c>
      <c r="L13" s="815"/>
    </row>
    <row r="14" spans="1:13" ht="18.75" customHeight="1">
      <c r="A14" s="788" t="s">
        <v>389</v>
      </c>
      <c r="B14" s="828"/>
      <c r="C14" s="829"/>
      <c r="D14" s="829"/>
      <c r="E14" s="830"/>
      <c r="F14" s="22"/>
      <c r="G14" s="827"/>
      <c r="H14" s="807"/>
      <c r="I14" s="807"/>
      <c r="J14" s="807"/>
      <c r="K14" s="807"/>
      <c r="L14" s="816"/>
    </row>
    <row r="15" spans="1:13" ht="18.75" customHeight="1">
      <c r="A15" s="789"/>
      <c r="B15" s="820"/>
      <c r="C15" s="821"/>
      <c r="D15" s="821"/>
      <c r="E15" s="822"/>
      <c r="F15" s="22"/>
      <c r="G15" s="797"/>
      <c r="H15" s="798"/>
      <c r="I15" s="798"/>
      <c r="J15" s="798"/>
      <c r="K15" s="798"/>
      <c r="L15" s="808"/>
    </row>
    <row r="16" spans="1:13" ht="18.75" customHeight="1">
      <c r="A16" s="789"/>
      <c r="B16" s="817"/>
      <c r="C16" s="818"/>
      <c r="D16" s="818"/>
      <c r="E16" s="819"/>
      <c r="F16" s="22"/>
      <c r="G16" s="797"/>
      <c r="H16" s="798"/>
      <c r="I16" s="798"/>
      <c r="J16" s="798"/>
      <c r="K16" s="798"/>
      <c r="L16" s="808"/>
    </row>
    <row r="17" spans="1:12" ht="18.75" customHeight="1">
      <c r="A17" s="789"/>
      <c r="B17" s="820"/>
      <c r="C17" s="821"/>
      <c r="D17" s="821"/>
      <c r="E17" s="822"/>
      <c r="F17" s="22"/>
      <c r="G17" s="797"/>
      <c r="H17" s="798"/>
      <c r="I17" s="798"/>
      <c r="J17" s="798"/>
      <c r="K17" s="798"/>
      <c r="L17" s="808"/>
    </row>
    <row r="18" spans="1:12" ht="18.75" customHeight="1">
      <c r="A18" s="789"/>
      <c r="B18" s="817"/>
      <c r="C18" s="818"/>
      <c r="D18" s="818"/>
      <c r="E18" s="819"/>
      <c r="F18" s="22"/>
      <c r="G18" s="809"/>
      <c r="H18" s="810"/>
      <c r="I18" s="811"/>
      <c r="J18" s="798"/>
      <c r="K18" s="798"/>
      <c r="L18" s="808"/>
    </row>
    <row r="19" spans="1:12" ht="18.75" customHeight="1">
      <c r="A19" s="789"/>
      <c r="B19" s="820"/>
      <c r="C19" s="821"/>
      <c r="D19" s="821"/>
      <c r="E19" s="822"/>
      <c r="F19" s="22"/>
      <c r="G19" s="804"/>
      <c r="H19" s="805"/>
      <c r="I19" s="812"/>
      <c r="J19" s="798"/>
      <c r="K19" s="798"/>
      <c r="L19" s="808"/>
    </row>
    <row r="20" spans="1:12" ht="18.75" customHeight="1">
      <c r="A20" s="789"/>
      <c r="B20" s="823"/>
      <c r="C20" s="823"/>
      <c r="D20" s="823"/>
      <c r="E20" s="824"/>
      <c r="F20" s="22"/>
      <c r="G20" s="797"/>
      <c r="H20" s="798"/>
      <c r="I20" s="798"/>
      <c r="J20" s="798"/>
      <c r="K20" s="798"/>
      <c r="L20" s="808"/>
    </row>
    <row r="21" spans="1:12" ht="18.75" customHeight="1">
      <c r="A21" s="789"/>
      <c r="B21" s="823"/>
      <c r="C21" s="823"/>
      <c r="D21" s="823"/>
      <c r="E21" s="824"/>
      <c r="F21" s="22"/>
      <c r="G21" s="797"/>
      <c r="H21" s="798"/>
      <c r="I21" s="798"/>
      <c r="J21" s="798"/>
      <c r="K21" s="798"/>
      <c r="L21" s="808"/>
    </row>
    <row r="22" spans="1:12" ht="18.75" customHeight="1">
      <c r="A22" s="789"/>
      <c r="B22" s="823"/>
      <c r="C22" s="823"/>
      <c r="D22" s="823"/>
      <c r="E22" s="824"/>
      <c r="F22" s="22"/>
      <c r="G22" s="797"/>
      <c r="H22" s="798"/>
      <c r="I22" s="798"/>
      <c r="J22" s="798"/>
      <c r="K22" s="798"/>
      <c r="L22" s="808"/>
    </row>
    <row r="23" spans="1:12" ht="18.75" customHeight="1">
      <c r="A23" s="789"/>
      <c r="B23" s="823"/>
      <c r="C23" s="823"/>
      <c r="D23" s="823"/>
      <c r="E23" s="824"/>
      <c r="F23" s="22"/>
      <c r="G23" s="797"/>
      <c r="H23" s="798"/>
      <c r="I23" s="798"/>
      <c r="J23" s="798"/>
      <c r="K23" s="798"/>
      <c r="L23" s="808"/>
    </row>
    <row r="24" spans="1:12" ht="18.75" customHeight="1">
      <c r="A24" s="789"/>
      <c r="B24" s="823"/>
      <c r="C24" s="823"/>
      <c r="D24" s="823"/>
      <c r="E24" s="824"/>
      <c r="F24" s="22"/>
      <c r="G24" s="797"/>
      <c r="H24" s="798"/>
      <c r="I24" s="798"/>
      <c r="J24" s="798"/>
      <c r="K24" s="798"/>
      <c r="L24" s="808"/>
    </row>
    <row r="25" spans="1:12" ht="18.75" customHeight="1" thickBot="1">
      <c r="A25" s="790"/>
      <c r="B25" s="825"/>
      <c r="C25" s="825"/>
      <c r="D25" s="825"/>
      <c r="E25" s="826"/>
      <c r="F25" s="22"/>
      <c r="G25" s="799"/>
      <c r="H25" s="800"/>
      <c r="I25" s="800"/>
      <c r="J25" s="800"/>
      <c r="K25" s="800"/>
      <c r="L25" s="813"/>
    </row>
    <row r="27" spans="1:12" ht="18.75">
      <c r="E27" s="842" t="s">
        <v>390</v>
      </c>
      <c r="F27" s="842"/>
      <c r="G27" s="842"/>
      <c r="H27" s="842"/>
      <c r="I27" s="842"/>
    </row>
    <row r="28" spans="1:12" ht="6" customHeight="1">
      <c r="E28" s="35"/>
      <c r="F28" s="35"/>
      <c r="G28" s="35"/>
      <c r="H28" s="35"/>
      <c r="I28" s="35"/>
    </row>
    <row r="29" spans="1:12" s="18" customFormat="1" ht="21" customHeight="1" thickBot="1">
      <c r="B29" s="38" t="s">
        <v>391</v>
      </c>
      <c r="C29" s="38"/>
      <c r="D29" s="38"/>
      <c r="E29" s="38"/>
      <c r="F29" s="38"/>
      <c r="G29" s="38"/>
      <c r="H29" s="38"/>
      <c r="I29" s="38"/>
      <c r="J29" s="38"/>
      <c r="K29" s="38"/>
      <c r="L29" s="38"/>
    </row>
    <row r="30" spans="1:12" ht="6" customHeight="1" thickBot="1">
      <c r="B30" s="37"/>
    </row>
    <row r="31" spans="1:12" ht="38.25" customHeight="1" thickBot="1">
      <c r="B31" s="832" t="s">
        <v>386</v>
      </c>
      <c r="C31" s="833"/>
      <c r="D31" s="833"/>
      <c r="E31" s="834"/>
      <c r="F31" s="39"/>
      <c r="G31" s="841" t="s">
        <v>392</v>
      </c>
      <c r="H31" s="814"/>
      <c r="I31" s="814"/>
      <c r="J31" s="40" t="s">
        <v>393</v>
      </c>
      <c r="K31" s="814" t="s">
        <v>388</v>
      </c>
      <c r="L31" s="815"/>
    </row>
    <row r="32" spans="1:12" ht="16.5" customHeight="1">
      <c r="A32" s="788" t="s">
        <v>394</v>
      </c>
      <c r="B32" s="801"/>
      <c r="C32" s="802"/>
      <c r="D32" s="802"/>
      <c r="E32" s="803"/>
      <c r="F32" s="22"/>
      <c r="G32" s="827"/>
      <c r="H32" s="807"/>
      <c r="I32" s="807"/>
      <c r="J32" s="807"/>
      <c r="K32" s="807"/>
      <c r="L32" s="816"/>
    </row>
    <row r="33" spans="1:12" ht="16.5" customHeight="1">
      <c r="A33" s="789"/>
      <c r="B33" s="804"/>
      <c r="C33" s="805"/>
      <c r="D33" s="805"/>
      <c r="E33" s="806"/>
      <c r="F33" s="22"/>
      <c r="G33" s="797"/>
      <c r="H33" s="798"/>
      <c r="I33" s="798"/>
      <c r="J33" s="798"/>
      <c r="K33" s="798"/>
      <c r="L33" s="808"/>
    </row>
    <row r="34" spans="1:12" ht="16.5" customHeight="1">
      <c r="A34" s="789"/>
      <c r="B34" s="791" t="str">
        <f>IF(Recomandări!I39="","",Recomandări!I39)</f>
        <v/>
      </c>
      <c r="C34" s="792"/>
      <c r="D34" s="792"/>
      <c r="E34" s="793"/>
      <c r="F34" s="22"/>
      <c r="G34" s="797"/>
      <c r="H34" s="798"/>
      <c r="I34" s="798"/>
      <c r="J34" s="798"/>
      <c r="K34" s="798"/>
      <c r="L34" s="808"/>
    </row>
    <row r="35" spans="1:12" ht="16.5" customHeight="1">
      <c r="A35" s="789"/>
      <c r="B35" s="791"/>
      <c r="C35" s="792"/>
      <c r="D35" s="792"/>
      <c r="E35" s="793"/>
      <c r="F35" s="22"/>
      <c r="G35" s="797"/>
      <c r="H35" s="798"/>
      <c r="I35" s="798"/>
      <c r="J35" s="798"/>
      <c r="K35" s="798"/>
      <c r="L35" s="808"/>
    </row>
    <row r="36" spans="1:12" ht="16.5" customHeight="1">
      <c r="A36" s="789"/>
      <c r="B36" s="791" t="str">
        <f>+IF(Recomandări!I49="","",Recomandări!I49)</f>
        <v/>
      </c>
      <c r="C36" s="792"/>
      <c r="D36" s="792"/>
      <c r="E36" s="793"/>
      <c r="F36" s="22"/>
      <c r="G36" s="797"/>
      <c r="H36" s="798"/>
      <c r="I36" s="798"/>
      <c r="J36" s="798"/>
      <c r="K36" s="798"/>
      <c r="L36" s="808"/>
    </row>
    <row r="37" spans="1:12" ht="16.5" customHeight="1">
      <c r="A37" s="789"/>
      <c r="B37" s="791"/>
      <c r="C37" s="792"/>
      <c r="D37" s="792"/>
      <c r="E37" s="793"/>
      <c r="F37" s="22"/>
      <c r="G37" s="797"/>
      <c r="H37" s="798"/>
      <c r="I37" s="798"/>
      <c r="J37" s="798"/>
      <c r="K37" s="798"/>
      <c r="L37" s="808"/>
    </row>
    <row r="38" spans="1:12" ht="16.5" customHeight="1">
      <c r="A38" s="789"/>
      <c r="B38" s="791"/>
      <c r="C38" s="792"/>
      <c r="D38" s="792"/>
      <c r="E38" s="793"/>
      <c r="F38" s="22"/>
      <c r="G38" s="797"/>
      <c r="H38" s="798"/>
      <c r="I38" s="798"/>
      <c r="J38" s="798"/>
      <c r="K38" s="798"/>
      <c r="L38" s="808"/>
    </row>
    <row r="39" spans="1:12" ht="16.5" customHeight="1">
      <c r="A39" s="789"/>
      <c r="B39" s="791"/>
      <c r="C39" s="792"/>
      <c r="D39" s="792"/>
      <c r="E39" s="793"/>
      <c r="F39" s="22"/>
      <c r="G39" s="797"/>
      <c r="H39" s="798"/>
      <c r="I39" s="798"/>
      <c r="J39" s="798"/>
      <c r="K39" s="798"/>
      <c r="L39" s="808"/>
    </row>
    <row r="40" spans="1:12" ht="16.5" customHeight="1">
      <c r="A40" s="789"/>
      <c r="B40" s="791"/>
      <c r="C40" s="792"/>
      <c r="D40" s="792"/>
      <c r="E40" s="793"/>
      <c r="F40" s="22"/>
      <c r="G40" s="797"/>
      <c r="H40" s="798"/>
      <c r="I40" s="798"/>
      <c r="J40" s="798"/>
      <c r="K40" s="798"/>
      <c r="L40" s="808"/>
    </row>
    <row r="41" spans="1:12" ht="16.5" customHeight="1">
      <c r="A41" s="789"/>
      <c r="B41" s="791"/>
      <c r="C41" s="792"/>
      <c r="D41" s="792"/>
      <c r="E41" s="793"/>
      <c r="F41" s="22"/>
      <c r="G41" s="797"/>
      <c r="H41" s="798"/>
      <c r="I41" s="798"/>
      <c r="J41" s="798"/>
      <c r="K41" s="798"/>
      <c r="L41" s="808"/>
    </row>
    <row r="42" spans="1:12" ht="16.5" customHeight="1">
      <c r="A42" s="789"/>
      <c r="B42" s="791"/>
      <c r="C42" s="792"/>
      <c r="D42" s="792"/>
      <c r="E42" s="793"/>
      <c r="F42" s="22"/>
      <c r="G42" s="797"/>
      <c r="H42" s="798"/>
      <c r="I42" s="798"/>
      <c r="J42" s="798"/>
      <c r="K42" s="798"/>
      <c r="L42" s="808"/>
    </row>
    <row r="43" spans="1:12" ht="16.5" customHeight="1" thickBot="1">
      <c r="A43" s="790"/>
      <c r="B43" s="794"/>
      <c r="C43" s="795"/>
      <c r="D43" s="795"/>
      <c r="E43" s="796"/>
      <c r="F43" s="22"/>
      <c r="G43" s="799"/>
      <c r="H43" s="800"/>
      <c r="I43" s="800"/>
      <c r="J43" s="800"/>
      <c r="K43" s="800"/>
      <c r="L43" s="813"/>
    </row>
  </sheetData>
  <mergeCells count="67">
    <mergeCell ref="B10:L11"/>
    <mergeCell ref="K13:L13"/>
    <mergeCell ref="G13:I13"/>
    <mergeCell ref="G24:I25"/>
    <mergeCell ref="G31:I31"/>
    <mergeCell ref="J24:J25"/>
    <mergeCell ref="E27:I27"/>
    <mergeCell ref="B31:E31"/>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32:A43"/>
    <mergeCell ref="B42:E43"/>
    <mergeCell ref="G42:I43"/>
    <mergeCell ref="G38:I39"/>
    <mergeCell ref="B38:E39"/>
    <mergeCell ref="B40:E41"/>
    <mergeCell ref="B34:E35"/>
    <mergeCell ref="G34:I35"/>
    <mergeCell ref="B36:E37"/>
    <mergeCell ref="G36:I37"/>
    <mergeCell ref="B32:E33"/>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B2:O144"/>
  <sheetViews>
    <sheetView showGridLines="0" zoomScale="80" zoomScaleNormal="80" workbookViewId="0">
      <selection activeCell="J25" sqref="J25"/>
    </sheetView>
  </sheetViews>
  <sheetFormatPr defaultColWidth="11" defaultRowHeight="15"/>
  <cols>
    <col min="1" max="1" width="11.42578125" customWidth="1"/>
    <col min="2" max="2" width="14.5703125" bestFit="1" customWidth="1"/>
    <col min="3" max="6" width="14.42578125" bestFit="1" customWidth="1"/>
    <col min="7" max="9" width="14.42578125" customWidth="1"/>
    <col min="10" max="10" width="29.5703125" bestFit="1" customWidth="1"/>
    <col min="11" max="11" width="23.85546875" bestFit="1" customWidth="1"/>
    <col min="12" max="12" width="53.5703125" bestFit="1" customWidth="1"/>
    <col min="13" max="14" width="11.42578125" customWidth="1"/>
    <col min="15" max="15" width="28.5703125" customWidth="1"/>
    <col min="16" max="16" width="46.42578125" customWidth="1"/>
  </cols>
  <sheetData>
    <row r="2" spans="2:15" ht="25.5" customHeight="1"/>
    <row r="3" spans="2:15" ht="36">
      <c r="B3" s="843" t="str">
        <f>'Detalii despre Grant'!B3:J3</f>
        <v>Tabel Programatic de Evaluare:  Moldova - HIVAIDS / TB</v>
      </c>
      <c r="C3" s="843"/>
      <c r="D3" s="843"/>
      <c r="E3" s="843"/>
      <c r="F3" s="843"/>
      <c r="G3" s="843"/>
      <c r="H3" s="843"/>
      <c r="I3" s="843"/>
      <c r="J3" s="843"/>
      <c r="K3" s="1"/>
    </row>
    <row r="6" spans="2:15" ht="18.75">
      <c r="B6" s="842" t="s">
        <v>242</v>
      </c>
      <c r="C6" s="842"/>
      <c r="D6" s="842"/>
      <c r="E6" s="842"/>
      <c r="F6" s="842"/>
      <c r="G6" s="842"/>
      <c r="H6" s="842"/>
      <c r="I6" s="842"/>
      <c r="J6" s="842"/>
    </row>
    <row r="8" spans="2:15" ht="18.75">
      <c r="B8" s="34" t="s">
        <v>13</v>
      </c>
      <c r="C8" s="34" t="s">
        <v>16</v>
      </c>
      <c r="D8" s="34" t="s">
        <v>17</v>
      </c>
      <c r="E8" s="34" t="s">
        <v>22</v>
      </c>
      <c r="F8" s="34" t="s">
        <v>226</v>
      </c>
      <c r="G8" s="34" t="s">
        <v>413</v>
      </c>
      <c r="H8" s="34" t="s">
        <v>414</v>
      </c>
      <c r="I8" s="34" t="s">
        <v>211</v>
      </c>
      <c r="J8" s="34" t="s">
        <v>229</v>
      </c>
      <c r="K8" s="34" t="s">
        <v>52</v>
      </c>
      <c r="L8" s="34" t="s">
        <v>76</v>
      </c>
    </row>
    <row r="9" spans="2:15">
      <c r="B9" s="43" t="s">
        <v>265</v>
      </c>
      <c r="C9" s="43" t="s">
        <v>265</v>
      </c>
      <c r="D9" s="43" t="s">
        <v>265</v>
      </c>
      <c r="E9" s="43" t="s">
        <v>265</v>
      </c>
      <c r="F9" s="43" t="s">
        <v>265</v>
      </c>
      <c r="G9" s="43"/>
      <c r="H9" s="43"/>
      <c r="I9" s="43" t="s">
        <v>265</v>
      </c>
      <c r="J9" s="43" t="s">
        <v>265</v>
      </c>
      <c r="K9" s="188" t="s">
        <v>265</v>
      </c>
      <c r="L9" s="43" t="s">
        <v>265</v>
      </c>
    </row>
    <row r="10" spans="2:15">
      <c r="B10" s="29" t="s">
        <v>12</v>
      </c>
      <c r="C10" s="29" t="s">
        <v>7</v>
      </c>
      <c r="D10" s="29" t="s">
        <v>5</v>
      </c>
      <c r="E10" s="29" t="s">
        <v>6</v>
      </c>
      <c r="F10" s="29" t="s">
        <v>58</v>
      </c>
      <c r="G10" s="292">
        <v>44197</v>
      </c>
      <c r="H10" s="292">
        <v>44377</v>
      </c>
      <c r="I10" s="29" t="s">
        <v>24</v>
      </c>
      <c r="J10" s="32" t="s">
        <v>29</v>
      </c>
      <c r="K10" s="17" t="s">
        <v>232</v>
      </c>
      <c r="L10" s="43" t="s">
        <v>77</v>
      </c>
    </row>
    <row r="11" spans="2:15">
      <c r="B11" s="29" t="s">
        <v>14</v>
      </c>
      <c r="C11" s="29" t="s">
        <v>2</v>
      </c>
      <c r="D11" s="29" t="s">
        <v>8</v>
      </c>
      <c r="E11" s="29" t="s">
        <v>4</v>
      </c>
      <c r="F11" s="29" t="s">
        <v>59</v>
      </c>
      <c r="G11" s="292">
        <v>44378</v>
      </c>
      <c r="H11" s="292">
        <v>44561</v>
      </c>
      <c r="I11" s="29" t="s">
        <v>25</v>
      </c>
      <c r="J11" s="32" t="s">
        <v>30</v>
      </c>
      <c r="K11" s="17" t="s">
        <v>233</v>
      </c>
      <c r="L11" s="43" t="s">
        <v>78</v>
      </c>
    </row>
    <row r="12" spans="2:15">
      <c r="B12" s="29" t="s">
        <v>15</v>
      </c>
      <c r="D12" s="29" t="s">
        <v>9</v>
      </c>
      <c r="E12" s="29" t="s">
        <v>10</v>
      </c>
      <c r="F12" s="29" t="s">
        <v>60</v>
      </c>
      <c r="G12" s="292">
        <v>44562</v>
      </c>
      <c r="H12" s="292">
        <v>44742</v>
      </c>
      <c r="I12" s="29" t="s">
        <v>26</v>
      </c>
      <c r="J12" s="32" t="s">
        <v>31</v>
      </c>
      <c r="K12" s="17" t="s">
        <v>234</v>
      </c>
      <c r="L12" s="43" t="s">
        <v>79</v>
      </c>
      <c r="O12" s="98"/>
    </row>
    <row r="13" spans="2:15">
      <c r="B13" s="29" t="s">
        <v>50</v>
      </c>
      <c r="D13" s="29" t="s">
        <v>11</v>
      </c>
      <c r="E13" s="30"/>
      <c r="F13" s="29" t="s">
        <v>61</v>
      </c>
      <c r="G13" s="292">
        <v>44743</v>
      </c>
      <c r="H13" s="292">
        <v>44926</v>
      </c>
      <c r="I13" s="29" t="s">
        <v>27</v>
      </c>
      <c r="J13" s="32" t="s">
        <v>32</v>
      </c>
      <c r="K13" s="17" t="s">
        <v>235</v>
      </c>
      <c r="L13" s="43" t="s">
        <v>80</v>
      </c>
      <c r="O13" s="98"/>
    </row>
    <row r="14" spans="2:15">
      <c r="B14" s="29" t="s">
        <v>51</v>
      </c>
      <c r="D14" s="29" t="s">
        <v>18</v>
      </c>
      <c r="F14" s="29" t="s">
        <v>68</v>
      </c>
      <c r="G14" s="292">
        <v>44927</v>
      </c>
      <c r="H14" s="292">
        <v>45107</v>
      </c>
      <c r="I14" s="29" t="s">
        <v>28</v>
      </c>
      <c r="J14" s="32" t="s">
        <v>33</v>
      </c>
      <c r="K14" s="17" t="s">
        <v>212</v>
      </c>
      <c r="L14" s="43" t="s">
        <v>81</v>
      </c>
      <c r="O14" s="98"/>
    </row>
    <row r="15" spans="2:15">
      <c r="D15" s="29" t="s">
        <v>19</v>
      </c>
      <c r="F15" s="29" t="s">
        <v>69</v>
      </c>
      <c r="G15" s="292">
        <v>45108</v>
      </c>
      <c r="H15" s="292">
        <v>45291</v>
      </c>
      <c r="J15" s="32" t="s">
        <v>34</v>
      </c>
      <c r="K15" s="17" t="s">
        <v>40</v>
      </c>
      <c r="L15" s="43" t="s">
        <v>82</v>
      </c>
      <c r="O15" s="98"/>
    </row>
    <row r="16" spans="2:15">
      <c r="D16" s="29" t="s">
        <v>20</v>
      </c>
      <c r="F16" s="29" t="s">
        <v>70</v>
      </c>
      <c r="G16" s="292" t="s">
        <v>415</v>
      </c>
      <c r="H16" s="292" t="s">
        <v>415</v>
      </c>
      <c r="J16" s="32" t="s">
        <v>35</v>
      </c>
      <c r="K16" s="17" t="s">
        <v>41</v>
      </c>
      <c r="L16" s="43" t="s">
        <v>83</v>
      </c>
      <c r="O16" s="98"/>
    </row>
    <row r="17" spans="4:15">
      <c r="D17" s="29" t="s">
        <v>21</v>
      </c>
      <c r="F17" s="29" t="s">
        <v>71</v>
      </c>
      <c r="G17" s="292" t="s">
        <v>415</v>
      </c>
      <c r="H17" s="292" t="s">
        <v>415</v>
      </c>
      <c r="J17" s="32" t="s">
        <v>36</v>
      </c>
      <c r="K17" s="17" t="s">
        <v>42</v>
      </c>
      <c r="L17" s="43" t="s">
        <v>84</v>
      </c>
      <c r="O17" s="98"/>
    </row>
    <row r="18" spans="4:15">
      <c r="D18" s="29" t="s">
        <v>3</v>
      </c>
      <c r="F18" s="29" t="s">
        <v>72</v>
      </c>
      <c r="G18" s="292" t="s">
        <v>415</v>
      </c>
      <c r="H18" s="292" t="s">
        <v>415</v>
      </c>
      <c r="J18" s="32" t="s">
        <v>37</v>
      </c>
      <c r="K18" s="17" t="s">
        <v>43</v>
      </c>
      <c r="L18" s="43" t="s">
        <v>85</v>
      </c>
      <c r="O18" s="98"/>
    </row>
    <row r="19" spans="4:15">
      <c r="D19" s="190" t="s">
        <v>264</v>
      </c>
      <c r="F19" s="29" t="s">
        <v>73</v>
      </c>
      <c r="G19" s="292" t="s">
        <v>415</v>
      </c>
      <c r="H19" s="292" t="s">
        <v>415</v>
      </c>
      <c r="J19" s="32" t="s">
        <v>38</v>
      </c>
      <c r="K19" s="17" t="s">
        <v>44</v>
      </c>
      <c r="L19" s="43" t="s">
        <v>86</v>
      </c>
      <c r="O19" s="98"/>
    </row>
    <row r="20" spans="4:15">
      <c r="D20" s="31"/>
      <c r="F20" s="29" t="s">
        <v>74</v>
      </c>
      <c r="G20" s="292" t="s">
        <v>415</v>
      </c>
      <c r="H20" s="292" t="s">
        <v>415</v>
      </c>
      <c r="J20" s="32" t="s">
        <v>209</v>
      </c>
      <c r="K20" s="17" t="s">
        <v>45</v>
      </c>
      <c r="L20" s="43" t="s">
        <v>87</v>
      </c>
    </row>
    <row r="21" spans="4:15">
      <c r="D21" s="33"/>
      <c r="F21" s="29" t="s">
        <v>227</v>
      </c>
      <c r="G21" s="292" t="s">
        <v>415</v>
      </c>
      <c r="H21" s="292" t="s">
        <v>415</v>
      </c>
      <c r="J21" s="33"/>
      <c r="K21" s="17" t="s">
        <v>47</v>
      </c>
      <c r="L21" s="43" t="s">
        <v>88</v>
      </c>
    </row>
    <row r="22" spans="4:15">
      <c r="J22" s="33"/>
      <c r="K22" s="17" t="s">
        <v>48</v>
      </c>
      <c r="L22" s="43" t="s">
        <v>89</v>
      </c>
    </row>
    <row r="23" spans="4:15">
      <c r="K23" s="17" t="s">
        <v>46</v>
      </c>
      <c r="L23" s="43" t="s">
        <v>90</v>
      </c>
    </row>
    <row r="24" spans="4:15">
      <c r="K24" s="17" t="s">
        <v>237</v>
      </c>
      <c r="L24" s="43" t="s">
        <v>91</v>
      </c>
    </row>
    <row r="25" spans="4:15">
      <c r="K25" s="21"/>
      <c r="L25" s="43" t="s">
        <v>92</v>
      </c>
    </row>
    <row r="26" spans="4:15">
      <c r="K26" s="17" t="s">
        <v>238</v>
      </c>
      <c r="L26" s="43" t="s">
        <v>93</v>
      </c>
    </row>
    <row r="27" spans="4:15">
      <c r="K27" s="17" t="s">
        <v>236</v>
      </c>
      <c r="L27" s="43" t="s">
        <v>94</v>
      </c>
    </row>
    <row r="28" spans="4:15">
      <c r="K28" s="21"/>
      <c r="L28" s="43" t="s">
        <v>95</v>
      </c>
    </row>
    <row r="29" spans="4:15">
      <c r="K29" s="21"/>
      <c r="L29" s="43" t="s">
        <v>96</v>
      </c>
    </row>
    <row r="30" spans="4:15">
      <c r="K30" s="21"/>
      <c r="L30" s="43" t="s">
        <v>97</v>
      </c>
    </row>
    <row r="31" spans="4:15">
      <c r="L31" s="43" t="s">
        <v>98</v>
      </c>
    </row>
    <row r="32" spans="4:15">
      <c r="L32" s="43" t="s">
        <v>99</v>
      </c>
    </row>
    <row r="33" spans="12:12">
      <c r="L33" s="43" t="s">
        <v>100</v>
      </c>
    </row>
    <row r="34" spans="12:12">
      <c r="L34" s="43" t="s">
        <v>101</v>
      </c>
    </row>
    <row r="35" spans="12:12">
      <c r="L35" s="43" t="s">
        <v>102</v>
      </c>
    </row>
    <row r="36" spans="12:12">
      <c r="L36" s="43" t="s">
        <v>102</v>
      </c>
    </row>
    <row r="37" spans="12:12">
      <c r="L37" s="43" t="s">
        <v>103</v>
      </c>
    </row>
    <row r="38" spans="12:12">
      <c r="L38" s="43" t="s">
        <v>104</v>
      </c>
    </row>
    <row r="39" spans="12:12">
      <c r="L39" s="43" t="s">
        <v>105</v>
      </c>
    </row>
    <row r="40" spans="12:12">
      <c r="L40" s="43" t="s">
        <v>106</v>
      </c>
    </row>
    <row r="41" spans="12:12">
      <c r="L41" s="43" t="s">
        <v>107</v>
      </c>
    </row>
    <row r="42" spans="12:12">
      <c r="L42" s="43" t="s">
        <v>108</v>
      </c>
    </row>
    <row r="43" spans="12:12">
      <c r="L43" s="43" t="s">
        <v>109</v>
      </c>
    </row>
    <row r="44" spans="12:12">
      <c r="L44" s="43" t="s">
        <v>110</v>
      </c>
    </row>
    <row r="45" spans="12:12">
      <c r="L45" s="43" t="s">
        <v>111</v>
      </c>
    </row>
    <row r="46" spans="12:12">
      <c r="L46" s="43" t="s">
        <v>112</v>
      </c>
    </row>
    <row r="47" spans="12:12">
      <c r="L47" s="43" t="s">
        <v>113</v>
      </c>
    </row>
    <row r="48" spans="12:12">
      <c r="L48" s="43" t="s">
        <v>114</v>
      </c>
    </row>
    <row r="49" spans="12:12">
      <c r="L49" s="43" t="s">
        <v>115</v>
      </c>
    </row>
    <row r="50" spans="12:12">
      <c r="L50" s="43" t="s">
        <v>116</v>
      </c>
    </row>
    <row r="51" spans="12:12">
      <c r="L51" s="43" t="s">
        <v>117</v>
      </c>
    </row>
    <row r="52" spans="12:12">
      <c r="L52" s="43" t="s">
        <v>118</v>
      </c>
    </row>
    <row r="53" spans="12:12">
      <c r="L53" s="43" t="s">
        <v>119</v>
      </c>
    </row>
    <row r="54" spans="12:12">
      <c r="L54" s="43" t="s">
        <v>120</v>
      </c>
    </row>
    <row r="55" spans="12:12">
      <c r="L55" s="43" t="s">
        <v>121</v>
      </c>
    </row>
    <row r="56" spans="12:12">
      <c r="L56" s="43" t="s">
        <v>122</v>
      </c>
    </row>
    <row r="57" spans="12:12">
      <c r="L57" s="43" t="s">
        <v>123</v>
      </c>
    </row>
    <row r="58" spans="12:12">
      <c r="L58" s="43" t="s">
        <v>124</v>
      </c>
    </row>
    <row r="59" spans="12:12">
      <c r="L59" s="43" t="s">
        <v>125</v>
      </c>
    </row>
    <row r="60" spans="12:12">
      <c r="L60" s="43" t="s">
        <v>126</v>
      </c>
    </row>
    <row r="61" spans="12:12">
      <c r="L61" s="43" t="s">
        <v>127</v>
      </c>
    </row>
    <row r="62" spans="12:12">
      <c r="L62" s="43" t="s">
        <v>128</v>
      </c>
    </row>
    <row r="63" spans="12:12">
      <c r="L63" s="43" t="s">
        <v>129</v>
      </c>
    </row>
    <row r="64" spans="12:12">
      <c r="L64" s="43" t="s">
        <v>130</v>
      </c>
    </row>
    <row r="65" spans="12:12">
      <c r="L65" s="43" t="s">
        <v>131</v>
      </c>
    </row>
    <row r="66" spans="12:12">
      <c r="L66" s="43" t="s">
        <v>132</v>
      </c>
    </row>
    <row r="67" spans="12:12">
      <c r="L67" s="43" t="s">
        <v>133</v>
      </c>
    </row>
    <row r="68" spans="12:12">
      <c r="L68" s="43" t="s">
        <v>134</v>
      </c>
    </row>
    <row r="69" spans="12:12">
      <c r="L69" s="43" t="s">
        <v>135</v>
      </c>
    </row>
    <row r="70" spans="12:12">
      <c r="L70" s="43" t="s">
        <v>136</v>
      </c>
    </row>
    <row r="71" spans="12:12">
      <c r="L71" s="43" t="s">
        <v>137</v>
      </c>
    </row>
    <row r="72" spans="12:12">
      <c r="L72" s="43" t="s">
        <v>138</v>
      </c>
    </row>
    <row r="73" spans="12:12">
      <c r="L73" s="43" t="s">
        <v>139</v>
      </c>
    </row>
    <row r="74" spans="12:12">
      <c r="L74" s="43" t="s">
        <v>140</v>
      </c>
    </row>
    <row r="75" spans="12:12">
      <c r="L75" s="43" t="s">
        <v>141</v>
      </c>
    </row>
    <row r="76" spans="12:12">
      <c r="L76" s="43" t="s">
        <v>142</v>
      </c>
    </row>
    <row r="77" spans="12:12">
      <c r="L77" s="43" t="s">
        <v>143</v>
      </c>
    </row>
    <row r="78" spans="12:12">
      <c r="L78" s="43" t="s">
        <v>144</v>
      </c>
    </row>
    <row r="79" spans="12:12">
      <c r="L79" s="43" t="s">
        <v>145</v>
      </c>
    </row>
    <row r="80" spans="12:12">
      <c r="L80" s="43" t="s">
        <v>146</v>
      </c>
    </row>
    <row r="81" spans="12:12">
      <c r="L81" s="43" t="s">
        <v>147</v>
      </c>
    </row>
    <row r="82" spans="12:12">
      <c r="L82" s="43" t="s">
        <v>148</v>
      </c>
    </row>
    <row r="83" spans="12:12">
      <c r="L83" s="43" t="s">
        <v>149</v>
      </c>
    </row>
    <row r="84" spans="12:12">
      <c r="L84" s="43" t="s">
        <v>150</v>
      </c>
    </row>
    <row r="85" spans="12:12">
      <c r="L85" s="43" t="s">
        <v>151</v>
      </c>
    </row>
    <row r="86" spans="12:12">
      <c r="L86" s="43" t="s">
        <v>152</v>
      </c>
    </row>
    <row r="87" spans="12:12">
      <c r="L87" s="43" t="s">
        <v>153</v>
      </c>
    </row>
    <row r="88" spans="12:12">
      <c r="L88" s="43" t="s">
        <v>154</v>
      </c>
    </row>
    <row r="89" spans="12:12">
      <c r="L89" s="43" t="s">
        <v>155</v>
      </c>
    </row>
    <row r="90" spans="12:12">
      <c r="L90" s="43" t="s">
        <v>156</v>
      </c>
    </row>
    <row r="91" spans="12:12">
      <c r="L91" s="43" t="s">
        <v>157</v>
      </c>
    </row>
    <row r="92" spans="12:12">
      <c r="L92" s="43" t="s">
        <v>158</v>
      </c>
    </row>
    <row r="93" spans="12:12">
      <c r="L93" s="43" t="s">
        <v>159</v>
      </c>
    </row>
    <row r="94" spans="12:12">
      <c r="L94" s="43" t="s">
        <v>160</v>
      </c>
    </row>
    <row r="95" spans="12:12">
      <c r="L95" s="43" t="s">
        <v>161</v>
      </c>
    </row>
    <row r="96" spans="12:12">
      <c r="L96" s="43" t="s">
        <v>162</v>
      </c>
    </row>
    <row r="97" spans="12:12">
      <c r="L97" s="43" t="s">
        <v>163</v>
      </c>
    </row>
    <row r="98" spans="12:12">
      <c r="L98" s="43" t="s">
        <v>164</v>
      </c>
    </row>
    <row r="99" spans="12:12">
      <c r="L99" s="43" t="s">
        <v>165</v>
      </c>
    </row>
    <row r="100" spans="12:12">
      <c r="L100" s="43" t="s">
        <v>166</v>
      </c>
    </row>
    <row r="101" spans="12:12">
      <c r="L101" s="43" t="s">
        <v>167</v>
      </c>
    </row>
    <row r="102" spans="12:12">
      <c r="L102" s="43" t="s">
        <v>168</v>
      </c>
    </row>
    <row r="103" spans="12:12">
      <c r="L103" s="43" t="s">
        <v>169</v>
      </c>
    </row>
    <row r="104" spans="12:12">
      <c r="L104" s="43" t="s">
        <v>170</v>
      </c>
    </row>
    <row r="105" spans="12:12">
      <c r="L105" s="43" t="s">
        <v>171</v>
      </c>
    </row>
    <row r="106" spans="12:12">
      <c r="L106" s="43" t="s">
        <v>172</v>
      </c>
    </row>
    <row r="107" spans="12:12">
      <c r="L107" s="43" t="s">
        <v>173</v>
      </c>
    </row>
    <row r="108" spans="12:12">
      <c r="L108" s="43" t="s">
        <v>174</v>
      </c>
    </row>
    <row r="109" spans="12:12">
      <c r="L109" s="43" t="s">
        <v>175</v>
      </c>
    </row>
    <row r="110" spans="12:12">
      <c r="L110" s="43" t="s">
        <v>176</v>
      </c>
    </row>
    <row r="111" spans="12:12">
      <c r="L111" s="43" t="s">
        <v>49</v>
      </c>
    </row>
    <row r="112" spans="12:12">
      <c r="L112" s="43" t="s">
        <v>177</v>
      </c>
    </row>
    <row r="113" spans="12:12">
      <c r="L113" s="43" t="s">
        <v>178</v>
      </c>
    </row>
    <row r="114" spans="12:12">
      <c r="L114" s="43" t="s">
        <v>179</v>
      </c>
    </row>
    <row r="115" spans="12:12">
      <c r="L115" s="43" t="s">
        <v>180</v>
      </c>
    </row>
    <row r="116" spans="12:12">
      <c r="L116" s="43" t="s">
        <v>181</v>
      </c>
    </row>
    <row r="117" spans="12:12">
      <c r="L117" s="43" t="s">
        <v>182</v>
      </c>
    </row>
    <row r="118" spans="12:12">
      <c r="L118" s="43" t="s">
        <v>183</v>
      </c>
    </row>
    <row r="119" spans="12:12">
      <c r="L119" s="43" t="s">
        <v>184</v>
      </c>
    </row>
    <row r="120" spans="12:12">
      <c r="L120" s="43" t="s">
        <v>185</v>
      </c>
    </row>
    <row r="121" spans="12:12">
      <c r="L121" s="43" t="s">
        <v>186</v>
      </c>
    </row>
    <row r="122" spans="12:12">
      <c r="L122" s="43" t="s">
        <v>187</v>
      </c>
    </row>
    <row r="123" spans="12:12">
      <c r="L123" s="43" t="s">
        <v>188</v>
      </c>
    </row>
    <row r="124" spans="12:12">
      <c r="L124" s="43" t="s">
        <v>189</v>
      </c>
    </row>
    <row r="125" spans="12:12">
      <c r="L125" s="43" t="s">
        <v>190</v>
      </c>
    </row>
    <row r="126" spans="12:12">
      <c r="L126" s="43" t="s">
        <v>191</v>
      </c>
    </row>
    <row r="127" spans="12:12">
      <c r="L127" s="43" t="s">
        <v>192</v>
      </c>
    </row>
    <row r="128" spans="12:12">
      <c r="L128" s="43" t="s">
        <v>193</v>
      </c>
    </row>
    <row r="129" spans="12:12">
      <c r="L129" s="43" t="s">
        <v>194</v>
      </c>
    </row>
    <row r="130" spans="12:12">
      <c r="L130" s="43" t="s">
        <v>195</v>
      </c>
    </row>
    <row r="131" spans="12:12">
      <c r="L131" s="43" t="s">
        <v>196</v>
      </c>
    </row>
    <row r="132" spans="12:12">
      <c r="L132" s="43" t="s">
        <v>197</v>
      </c>
    </row>
    <row r="133" spans="12:12">
      <c r="L133" s="43" t="s">
        <v>198</v>
      </c>
    </row>
    <row r="134" spans="12:12">
      <c r="L134" s="43" t="s">
        <v>199</v>
      </c>
    </row>
    <row r="135" spans="12:12">
      <c r="L135" s="43" t="s">
        <v>200</v>
      </c>
    </row>
    <row r="136" spans="12:12">
      <c r="L136" s="43" t="s">
        <v>201</v>
      </c>
    </row>
    <row r="137" spans="12:12">
      <c r="L137" s="43" t="s">
        <v>202</v>
      </c>
    </row>
    <row r="138" spans="12:12">
      <c r="L138" s="43" t="s">
        <v>203</v>
      </c>
    </row>
    <row r="139" spans="12:12">
      <c r="L139" s="43" t="s">
        <v>204</v>
      </c>
    </row>
    <row r="140" spans="12:12">
      <c r="L140" s="43" t="s">
        <v>205</v>
      </c>
    </row>
    <row r="141" spans="12:12">
      <c r="L141" s="43" t="s">
        <v>206</v>
      </c>
    </row>
    <row r="142" spans="12:12">
      <c r="L142" s="43" t="s">
        <v>207</v>
      </c>
    </row>
    <row r="143" spans="12:12">
      <c r="L143" s="43" t="s">
        <v>208</v>
      </c>
    </row>
    <row r="144" spans="12:12">
      <c r="L144" s="186"/>
    </row>
  </sheetData>
  <mergeCells count="2">
    <mergeCell ref="B3:J3"/>
    <mergeCell ref="B6:J6"/>
  </mergeCells>
  <phoneticPr fontId="23" type="noConversion"/>
  <dataValidations count="1">
    <dataValidation type="list" allowBlank="1" showInputMessage="1" showErrorMessage="1" sqref="O28" xr:uid="{00000000-0002-0000-0900-000000000000}">
      <formula1>$L$10:$L$143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6"/>
  <sheetViews>
    <sheetView zoomScale="85" zoomScaleNormal="85" workbookViewId="0">
      <pane xSplit="1" ySplit="1" topLeftCell="B11" activePane="bottomRight" state="frozen"/>
      <selection pane="topRight" activeCell="B1" sqref="B1"/>
      <selection pane="bottomLeft" activeCell="A2" sqref="A2"/>
      <selection pane="bottomRight" activeCell="E29" sqref="E29"/>
    </sheetView>
  </sheetViews>
  <sheetFormatPr defaultRowHeight="15"/>
  <cols>
    <col min="2" max="2" width="20.140625" bestFit="1" customWidth="1"/>
    <col min="3" max="3" width="13.42578125" customWidth="1"/>
    <col min="4" max="4" width="45.140625" customWidth="1"/>
    <col min="5" max="5" width="96.140625" customWidth="1"/>
    <col min="6" max="6" width="33.28515625" bestFit="1" customWidth="1"/>
    <col min="7" max="7" width="90.5703125" bestFit="1" customWidth="1"/>
  </cols>
  <sheetData>
    <row r="1" spans="1:7">
      <c r="A1" s="297" t="s">
        <v>424</v>
      </c>
      <c r="B1" s="310" t="s">
        <v>422</v>
      </c>
      <c r="C1" s="297" t="s">
        <v>423</v>
      </c>
      <c r="D1" s="297" t="s">
        <v>247</v>
      </c>
      <c r="E1" s="297" t="s">
        <v>433</v>
      </c>
      <c r="F1" s="297" t="s">
        <v>432</v>
      </c>
      <c r="G1" s="311" t="s">
        <v>396</v>
      </c>
    </row>
    <row r="2" spans="1:7" ht="42.75">
      <c r="A2" s="291">
        <v>1</v>
      </c>
      <c r="B2" s="309" t="s">
        <v>417</v>
      </c>
      <c r="C2" s="21" t="s">
        <v>15</v>
      </c>
      <c r="D2" s="508" t="s">
        <v>429</v>
      </c>
      <c r="E2" s="509" t="s">
        <v>518</v>
      </c>
      <c r="F2" s="510" t="s">
        <v>397</v>
      </c>
      <c r="G2" s="511" t="s">
        <v>477</v>
      </c>
    </row>
    <row r="3" spans="1:7" ht="62.25" customHeight="1">
      <c r="A3" s="291">
        <v>2</v>
      </c>
      <c r="B3" s="309" t="s">
        <v>417</v>
      </c>
      <c r="C3" s="21" t="s">
        <v>15</v>
      </c>
      <c r="D3" s="508" t="s">
        <v>428</v>
      </c>
      <c r="E3" s="509" t="s">
        <v>430</v>
      </c>
      <c r="F3" s="510" t="s">
        <v>397</v>
      </c>
      <c r="G3" s="511" t="s">
        <v>477</v>
      </c>
    </row>
    <row r="4" spans="1:7" ht="42.75">
      <c r="A4" s="291">
        <v>3</v>
      </c>
      <c r="B4" s="309" t="s">
        <v>417</v>
      </c>
      <c r="C4" s="21" t="s">
        <v>420</v>
      </c>
      <c r="D4" s="844" t="s">
        <v>416</v>
      </c>
      <c r="E4" s="845" t="s">
        <v>519</v>
      </c>
      <c r="F4" s="846" t="s">
        <v>397</v>
      </c>
      <c r="G4" s="847" t="s">
        <v>453</v>
      </c>
    </row>
    <row r="5" spans="1:7" ht="42.75">
      <c r="A5" s="291">
        <v>4</v>
      </c>
      <c r="B5" s="309" t="s">
        <v>417</v>
      </c>
      <c r="C5" s="21" t="s">
        <v>420</v>
      </c>
      <c r="D5" s="844" t="s">
        <v>431</v>
      </c>
      <c r="E5" s="845" t="s">
        <v>434</v>
      </c>
      <c r="F5" s="846" t="s">
        <v>435</v>
      </c>
      <c r="G5" s="848" t="s">
        <v>443</v>
      </c>
    </row>
    <row r="6" spans="1:7" ht="42.75">
      <c r="A6" s="291">
        <v>5</v>
      </c>
      <c r="B6" s="309" t="s">
        <v>417</v>
      </c>
      <c r="C6" s="21" t="s">
        <v>420</v>
      </c>
      <c r="D6" s="844" t="s">
        <v>436</v>
      </c>
      <c r="E6" s="845" t="s">
        <v>437</v>
      </c>
      <c r="F6" s="846" t="s">
        <v>435</v>
      </c>
      <c r="G6" s="848" t="s">
        <v>443</v>
      </c>
    </row>
    <row r="7" spans="1:7" ht="45">
      <c r="A7" s="291">
        <v>6</v>
      </c>
      <c r="B7" s="309" t="s">
        <v>417</v>
      </c>
      <c r="C7" s="21" t="s">
        <v>420</v>
      </c>
      <c r="D7" s="844" t="s">
        <v>525</v>
      </c>
      <c r="E7" s="849" t="s">
        <v>527</v>
      </c>
      <c r="F7" s="846" t="s">
        <v>435</v>
      </c>
      <c r="G7" s="848" t="s">
        <v>443</v>
      </c>
    </row>
    <row r="8" spans="1:7" ht="57">
      <c r="A8" s="291">
        <v>7</v>
      </c>
      <c r="B8" s="309" t="s">
        <v>418</v>
      </c>
      <c r="C8" s="21" t="s">
        <v>15</v>
      </c>
      <c r="D8" s="508" t="s">
        <v>438</v>
      </c>
      <c r="E8" s="510" t="s">
        <v>439</v>
      </c>
      <c r="F8" s="510" t="s">
        <v>397</v>
      </c>
      <c r="G8" s="511" t="s">
        <v>477</v>
      </c>
    </row>
    <row r="9" spans="1:7" ht="57">
      <c r="A9" s="291">
        <v>8</v>
      </c>
      <c r="B9" s="309" t="s">
        <v>418</v>
      </c>
      <c r="C9" s="21" t="s">
        <v>15</v>
      </c>
      <c r="D9" s="508" t="s">
        <v>427</v>
      </c>
      <c r="E9" s="510" t="s">
        <v>440</v>
      </c>
      <c r="F9" s="510" t="s">
        <v>397</v>
      </c>
      <c r="G9" s="511" t="s">
        <v>520</v>
      </c>
    </row>
    <row r="10" spans="1:7" ht="56.25" customHeight="1">
      <c r="A10" s="291">
        <v>9</v>
      </c>
      <c r="B10" s="309" t="s">
        <v>418</v>
      </c>
      <c r="C10" s="21" t="s">
        <v>420</v>
      </c>
      <c r="D10" s="844" t="s">
        <v>441</v>
      </c>
      <c r="E10" s="846" t="s">
        <v>442</v>
      </c>
      <c r="F10" s="846" t="s">
        <v>435</v>
      </c>
      <c r="G10" s="847" t="s">
        <v>444</v>
      </c>
    </row>
    <row r="11" spans="1:7" ht="55.5" customHeight="1">
      <c r="A11" s="291">
        <v>10</v>
      </c>
      <c r="B11" s="309" t="s">
        <v>418</v>
      </c>
      <c r="C11" s="21" t="s">
        <v>420</v>
      </c>
      <c r="D11" s="844" t="s">
        <v>445</v>
      </c>
      <c r="E11" s="846" t="s">
        <v>446</v>
      </c>
      <c r="F11" s="846" t="s">
        <v>435</v>
      </c>
      <c r="G11" s="847" t="s">
        <v>444</v>
      </c>
    </row>
    <row r="12" spans="1:7" ht="58.5" customHeight="1">
      <c r="A12" s="291">
        <v>11</v>
      </c>
      <c r="B12" s="309" t="s">
        <v>418</v>
      </c>
      <c r="C12" s="21" t="s">
        <v>420</v>
      </c>
      <c r="D12" s="844" t="s">
        <v>526</v>
      </c>
      <c r="E12" s="846" t="s">
        <v>524</v>
      </c>
      <c r="F12" s="846" t="s">
        <v>435</v>
      </c>
      <c r="G12" s="847" t="s">
        <v>444</v>
      </c>
    </row>
    <row r="13" spans="1:7" ht="58.5" customHeight="1">
      <c r="A13" s="291">
        <v>12</v>
      </c>
      <c r="B13" s="309" t="s">
        <v>418</v>
      </c>
      <c r="C13" s="21" t="s">
        <v>420</v>
      </c>
      <c r="D13" s="844" t="s">
        <v>447</v>
      </c>
      <c r="E13" s="846" t="s">
        <v>448</v>
      </c>
      <c r="F13" s="846" t="s">
        <v>397</v>
      </c>
      <c r="G13" s="847" t="s">
        <v>449</v>
      </c>
    </row>
    <row r="14" spans="1:7" ht="99.75">
      <c r="A14" s="291">
        <v>13</v>
      </c>
      <c r="B14" s="309" t="s">
        <v>418</v>
      </c>
      <c r="C14" s="21" t="s">
        <v>420</v>
      </c>
      <c r="D14" s="844" t="s">
        <v>450</v>
      </c>
      <c r="E14" s="846" t="s">
        <v>451</v>
      </c>
      <c r="F14" s="846" t="s">
        <v>397</v>
      </c>
      <c r="G14" s="847" t="s">
        <v>452</v>
      </c>
    </row>
    <row r="15" spans="1:7" ht="75">
      <c r="A15" s="291">
        <v>14</v>
      </c>
      <c r="B15" s="309" t="s">
        <v>419</v>
      </c>
      <c r="C15" s="21" t="s">
        <v>15</v>
      </c>
      <c r="D15" s="508" t="s">
        <v>454</v>
      </c>
      <c r="E15" s="510" t="s">
        <v>455</v>
      </c>
      <c r="F15" s="510" t="s">
        <v>397</v>
      </c>
      <c r="G15" s="511" t="s">
        <v>460</v>
      </c>
    </row>
    <row r="16" spans="1:7" ht="60">
      <c r="A16" s="291">
        <v>15</v>
      </c>
      <c r="B16" s="309" t="s">
        <v>419</v>
      </c>
      <c r="C16" s="21" t="s">
        <v>15</v>
      </c>
      <c r="D16" s="508" t="s">
        <v>456</v>
      </c>
      <c r="E16" s="510" t="s">
        <v>457</v>
      </c>
      <c r="F16" s="510" t="s">
        <v>397</v>
      </c>
      <c r="G16" s="511" t="s">
        <v>460</v>
      </c>
    </row>
    <row r="17" spans="1:7" ht="75">
      <c r="A17" s="291">
        <v>16</v>
      </c>
      <c r="B17" s="309" t="s">
        <v>419</v>
      </c>
      <c r="C17" s="21" t="s">
        <v>15</v>
      </c>
      <c r="D17" s="508" t="s">
        <v>458</v>
      </c>
      <c r="E17" s="510" t="s">
        <v>459</v>
      </c>
      <c r="F17" s="510" t="s">
        <v>397</v>
      </c>
      <c r="G17" s="511" t="s">
        <v>521</v>
      </c>
    </row>
    <row r="18" spans="1:7" ht="80.25" customHeight="1">
      <c r="A18" s="291">
        <v>17</v>
      </c>
      <c r="B18" s="309" t="s">
        <v>419</v>
      </c>
      <c r="C18" s="512" t="s">
        <v>420</v>
      </c>
      <c r="D18" s="844" t="s">
        <v>461</v>
      </c>
      <c r="E18" s="846" t="s">
        <v>462</v>
      </c>
      <c r="F18" s="846" t="s">
        <v>397</v>
      </c>
      <c r="G18" s="847" t="s">
        <v>463</v>
      </c>
    </row>
    <row r="19" spans="1:7" ht="45">
      <c r="A19" s="291">
        <v>18</v>
      </c>
      <c r="B19" s="309" t="s">
        <v>419</v>
      </c>
      <c r="C19" s="21" t="s">
        <v>420</v>
      </c>
      <c r="D19" s="844" t="s">
        <v>464</v>
      </c>
      <c r="E19" s="846" t="s">
        <v>465</v>
      </c>
      <c r="F19" s="846" t="s">
        <v>397</v>
      </c>
      <c r="G19" s="847" t="s">
        <v>466</v>
      </c>
    </row>
    <row r="20" spans="1:7" ht="45">
      <c r="A20" s="291">
        <v>19</v>
      </c>
      <c r="B20" s="309" t="s">
        <v>419</v>
      </c>
      <c r="C20" s="21" t="s">
        <v>420</v>
      </c>
      <c r="D20" s="844" t="s">
        <v>467</v>
      </c>
      <c r="E20" s="846" t="s">
        <v>468</v>
      </c>
      <c r="F20" s="846" t="s">
        <v>397</v>
      </c>
      <c r="G20" s="847" t="s">
        <v>466</v>
      </c>
    </row>
    <row r="21" spans="1:7" ht="60">
      <c r="A21" s="291">
        <v>20</v>
      </c>
      <c r="B21" s="309" t="s">
        <v>419</v>
      </c>
      <c r="C21" s="21" t="s">
        <v>420</v>
      </c>
      <c r="D21" s="844" t="s">
        <v>528</v>
      </c>
      <c r="E21" s="846" t="s">
        <v>523</v>
      </c>
      <c r="F21" s="846" t="s">
        <v>397</v>
      </c>
      <c r="G21" s="847" t="s">
        <v>466</v>
      </c>
    </row>
    <row r="22" spans="1:7" ht="45">
      <c r="A22" s="291">
        <v>21</v>
      </c>
      <c r="B22" s="309" t="s">
        <v>419</v>
      </c>
      <c r="C22" s="21" t="s">
        <v>420</v>
      </c>
      <c r="D22" s="844" t="s">
        <v>469</v>
      </c>
      <c r="E22" s="846" t="s">
        <v>470</v>
      </c>
      <c r="F22" s="846" t="s">
        <v>397</v>
      </c>
      <c r="G22" s="847" t="s">
        <v>466</v>
      </c>
    </row>
    <row r="23" spans="1:7" ht="57">
      <c r="A23" s="291">
        <v>22</v>
      </c>
      <c r="B23" s="309" t="s">
        <v>419</v>
      </c>
      <c r="C23" s="21" t="s">
        <v>420</v>
      </c>
      <c r="D23" s="844" t="s">
        <v>471</v>
      </c>
      <c r="E23" s="846" t="s">
        <v>472</v>
      </c>
      <c r="F23" s="846" t="s">
        <v>397</v>
      </c>
      <c r="G23" s="847" t="s">
        <v>466</v>
      </c>
    </row>
    <row r="24" spans="1:7" ht="48.75" customHeight="1">
      <c r="A24" s="291">
        <v>23</v>
      </c>
      <c r="B24" s="309" t="s">
        <v>419</v>
      </c>
      <c r="C24" s="21" t="s">
        <v>420</v>
      </c>
      <c r="D24" s="844" t="s">
        <v>529</v>
      </c>
      <c r="E24" s="846" t="s">
        <v>530</v>
      </c>
      <c r="F24" s="846" t="s">
        <v>397</v>
      </c>
      <c r="G24" s="847" t="s">
        <v>466</v>
      </c>
    </row>
    <row r="25" spans="1:7" ht="62.25" customHeight="1">
      <c r="A25" s="291">
        <v>24</v>
      </c>
      <c r="B25" s="309" t="s">
        <v>419</v>
      </c>
      <c r="C25" s="21" t="s">
        <v>420</v>
      </c>
      <c r="D25" s="844" t="s">
        <v>473</v>
      </c>
      <c r="E25" s="846" t="s">
        <v>474</v>
      </c>
      <c r="F25" s="846" t="s">
        <v>397</v>
      </c>
      <c r="G25" s="847" t="s">
        <v>517</v>
      </c>
    </row>
    <row r="26" spans="1:7" ht="57">
      <c r="A26" s="291">
        <v>25</v>
      </c>
      <c r="B26" s="312" t="s">
        <v>419</v>
      </c>
      <c r="C26" s="313" t="s">
        <v>420</v>
      </c>
      <c r="D26" s="850" t="s">
        <v>475</v>
      </c>
      <c r="E26" s="851" t="s">
        <v>522</v>
      </c>
      <c r="F26" s="851" t="s">
        <v>397</v>
      </c>
      <c r="G26" s="852" t="s">
        <v>476</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Meniu</vt:lpstr>
      <vt:lpstr>Lista Indicatorilor</vt:lpstr>
      <vt:lpstr>Introducerea datelor</vt:lpstr>
      <vt:lpstr>Detalii despre Grant</vt:lpstr>
      <vt:lpstr>Management</vt:lpstr>
      <vt:lpstr>Financiar</vt:lpstr>
      <vt:lpstr>Programatic</vt:lpstr>
      <vt:lpstr>Recomandări</vt:lpstr>
      <vt:lpstr>Acțiuni</vt:lpstr>
      <vt:lpstr>Setup</vt:lpstr>
      <vt:lpstr>Indicatori</vt:lpstr>
      <vt:lpstr>Component</vt:lpstr>
      <vt:lpstr>Countries</vt:lpstr>
      <vt:lpstr>Currency</vt:lpstr>
      <vt:lpstr>Indicatori</vt:lpstr>
      <vt:lpstr>LFA</vt:lpstr>
      <vt:lpstr>Medicaments</vt:lpstr>
      <vt:lpstr>PERIOD</vt:lpstr>
      <vt:lpstr>Phase</vt:lpstr>
      <vt:lpstr>Acțiuni!Print_Area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Acțiuni!PrintM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svmaciuca@gmail.com</cp:lastModifiedBy>
  <cp:lastPrinted>2024-03-15T08:57:32Z</cp:lastPrinted>
  <dcterms:created xsi:type="dcterms:W3CDTF">2011-10-24T05:51:11Z</dcterms:created>
  <dcterms:modified xsi:type="dcterms:W3CDTF">2024-03-21T14:56:26Z</dcterms:modified>
</cp:coreProperties>
</file>